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showInkAnnotation="0"/>
  <bookViews>
    <workbookView tabRatio="727" windowHeight="12495" windowWidth="14430" xWindow="14385" yWindow="-15"/>
  </bookViews>
  <sheets>
    <sheet r:id="rId1" name="試算シミュレーション" sheetId="24"/>
    <sheet r:id="rId2" name="所得計算R7" sheetId="23" state="hidden"/>
  </sheets>
  <definedNames>
    <definedName localSheetId="0" name="_xlnm.Print_Area">試算シミュレーション!$A$1:$N$61</definedName>
  </definedNames>
  <calcPr calcId="162913"/>
</workbook>
</file>

<file path=xl/calcChain.xml><?xml version="1.0" encoding="utf-8"?>
<calcChain xmlns="http://schemas.openxmlformats.org/spreadsheetml/2006/main">
  <c r="G37" i="24" l="1"/>
  <c r="A45" i="23" l="1"/>
  <c r="G42" i="24"/>
  <c r="E52" i="24"/>
  <c r="B45" i="23" l="1"/>
  <c r="I8" i="24" l="1"/>
  <c r="G36" i="24" l="1"/>
  <c r="G41" i="24"/>
  <c r="L43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C54" i="23" s="1"/>
  <c r="H37" i="24" l="1"/>
  <c r="C63" i="23"/>
  <c r="H36" i="24"/>
  <c r="H41" i="24"/>
  <c r="H42" i="24"/>
  <c r="J19" i="23"/>
  <c r="J23" i="23" s="1"/>
  <c r="J27" i="23"/>
  <c r="J33" i="23" s="1"/>
  <c r="J30" i="23" l="1"/>
  <c r="J21" i="23"/>
  <c r="J25" i="23"/>
  <c r="J24" i="23"/>
  <c r="J31" i="23"/>
  <c r="I29" i="24" s="1"/>
  <c r="J29" i="23"/>
  <c r="J22" i="23"/>
  <c r="G29" i="24" s="1"/>
  <c r="J32" i="23"/>
  <c r="L41" i="23"/>
  <c r="L40" i="23" l="1"/>
  <c r="G55" i="23" l="1"/>
  <c r="B62" i="23"/>
  <c r="J2" i="23" l="1"/>
  <c r="L18" i="24" l="1"/>
  <c r="D23" i="24" l="1"/>
  <c r="F21" i="24"/>
  <c r="E21" i="24"/>
  <c r="O21" i="24" l="1"/>
  <c r="O22" i="24"/>
  <c r="L22" i="24"/>
  <c r="L20" i="24"/>
  <c r="L16" i="24"/>
  <c r="J13" i="23"/>
  <c r="H27" i="23"/>
  <c r="F23" i="24"/>
  <c r="M55" i="23" s="1"/>
  <c r="M54" i="23"/>
  <c r="E23" i="24"/>
  <c r="F27" i="23"/>
  <c r="F30" i="23" s="1"/>
  <c r="D27" i="23"/>
  <c r="D31" i="23" s="1"/>
  <c r="B27" i="23"/>
  <c r="B32" i="23" s="1"/>
  <c r="H19" i="23"/>
  <c r="H25" i="23" s="1"/>
  <c r="F19" i="23"/>
  <c r="F23" i="23" s="1"/>
  <c r="D19" i="23"/>
  <c r="D24" i="23" s="1"/>
  <c r="B19" i="23"/>
  <c r="B21" i="23" s="1"/>
  <c r="H2" i="23"/>
  <c r="H10" i="23" s="1"/>
  <c r="F2" i="23"/>
  <c r="F12" i="23" s="1"/>
  <c r="D2" i="23"/>
  <c r="D11" i="23" s="1"/>
  <c r="B2" i="23"/>
  <c r="B13" i="23" s="1"/>
  <c r="G59" i="24"/>
  <c r="G57" i="24"/>
  <c r="J55" i="23"/>
  <c r="L14" i="23" l="1"/>
  <c r="P13" i="23" s="1"/>
  <c r="K8" i="24"/>
  <c r="H29" i="23"/>
  <c r="H31" i="23"/>
  <c r="E36" i="24"/>
  <c r="N41" i="24"/>
  <c r="E41" i="24"/>
  <c r="N36" i="24"/>
  <c r="N49" i="24"/>
  <c r="N46" i="24"/>
  <c r="E46" i="24"/>
  <c r="N55" i="23"/>
  <c r="H22" i="24"/>
  <c r="I22" i="24" s="1"/>
  <c r="J22" i="24" s="1"/>
  <c r="O23" i="24"/>
  <c r="D12" i="23"/>
  <c r="D33" i="23"/>
  <c r="D22" i="23"/>
  <c r="J9" i="23"/>
  <c r="J4" i="23"/>
  <c r="D9" i="23"/>
  <c r="D32" i="23"/>
  <c r="D4" i="23"/>
  <c r="D19" i="24" s="1"/>
  <c r="D10" i="23"/>
  <c r="D30" i="23"/>
  <c r="D13" i="23"/>
  <c r="J12" i="23"/>
  <c r="D29" i="23"/>
  <c r="F19" i="24" s="1"/>
  <c r="M53" i="23" s="1"/>
  <c r="J11" i="23"/>
  <c r="J10" i="23"/>
  <c r="E29" i="24" s="1"/>
  <c r="K29" i="24" s="1"/>
  <c r="B31" i="23"/>
  <c r="B29" i="23"/>
  <c r="H30" i="23"/>
  <c r="H33" i="23"/>
  <c r="B30" i="23"/>
  <c r="H32" i="23"/>
  <c r="B33" i="23"/>
  <c r="F17" i="24" s="1"/>
  <c r="M52" i="23" s="1"/>
  <c r="D21" i="23"/>
  <c r="E19" i="24" s="1"/>
  <c r="D25" i="23"/>
  <c r="D23" i="23"/>
  <c r="H12" i="23"/>
  <c r="H4" i="23"/>
  <c r="F11" i="23"/>
  <c r="F10" i="23"/>
  <c r="F9" i="23"/>
  <c r="F13" i="23"/>
  <c r="H9" i="23"/>
  <c r="F4" i="23"/>
  <c r="D21" i="24" s="1"/>
  <c r="N54" i="23" s="1"/>
  <c r="H13" i="23"/>
  <c r="H11" i="23"/>
  <c r="B25" i="23"/>
  <c r="B22" i="23"/>
  <c r="F29" i="23"/>
  <c r="B11" i="23"/>
  <c r="B24" i="23"/>
  <c r="B12" i="23"/>
  <c r="F33" i="23"/>
  <c r="B23" i="23"/>
  <c r="E17" i="24" s="1"/>
  <c r="B4" i="23"/>
  <c r="B9" i="23"/>
  <c r="H23" i="23"/>
  <c r="H21" i="23"/>
  <c r="H24" i="23"/>
  <c r="F22" i="23"/>
  <c r="F21" i="23"/>
  <c r="F24" i="23"/>
  <c r="H22" i="23"/>
  <c r="B10" i="23"/>
  <c r="F31" i="23"/>
  <c r="F32" i="23"/>
  <c r="F25" i="23"/>
  <c r="Q13" i="23" l="1"/>
  <c r="G60" i="24" s="1"/>
  <c r="C48" i="23"/>
  <c r="C50" i="23"/>
  <c r="O18" i="24"/>
  <c r="N53" i="23"/>
  <c r="O19" i="24"/>
  <c r="F63" i="23"/>
  <c r="F64" i="23"/>
  <c r="F66" i="23"/>
  <c r="F65" i="23"/>
  <c r="C65" i="23"/>
  <c r="C64" i="23"/>
  <c r="F50" i="23"/>
  <c r="F52" i="23"/>
  <c r="F48" i="23"/>
  <c r="F54" i="23" s="1"/>
  <c r="H46" i="24"/>
  <c r="I50" i="23"/>
  <c r="I48" i="23"/>
  <c r="I52" i="23"/>
  <c r="K36" i="24"/>
  <c r="C58" i="23" s="1"/>
  <c r="C53" i="23"/>
  <c r="C49" i="23"/>
  <c r="C51" i="23"/>
  <c r="C66" i="23"/>
  <c r="C52" i="23"/>
  <c r="O20" i="24"/>
  <c r="H20" i="24"/>
  <c r="I20" i="24" s="1"/>
  <c r="J20" i="24" s="1"/>
  <c r="O17" i="24"/>
  <c r="H18" i="24"/>
  <c r="I18" i="24" s="1"/>
  <c r="J18" i="24" s="1"/>
  <c r="K22" i="24"/>
  <c r="G46" i="24"/>
  <c r="D17" i="24"/>
  <c r="C55" i="23"/>
  <c r="N52" i="23" l="1"/>
  <c r="N56" i="23" s="1"/>
  <c r="H16" i="24"/>
  <c r="I16" i="24" s="1"/>
  <c r="O16" i="24"/>
  <c r="I41" i="24"/>
  <c r="F57" i="23" s="1"/>
  <c r="I36" i="24"/>
  <c r="C57" i="23" s="1"/>
  <c r="K20" i="24"/>
  <c r="E50" i="24"/>
  <c r="E51" i="24"/>
  <c r="I46" i="24"/>
  <c r="I57" i="23" s="1"/>
  <c r="I54" i="23"/>
  <c r="K18" i="24"/>
  <c r="E49" i="24"/>
  <c r="G48" i="24" l="1"/>
  <c r="O54" i="23"/>
  <c r="O56" i="23"/>
  <c r="G51" i="24" s="1"/>
  <c r="J16" i="24"/>
  <c r="M56" i="23"/>
  <c r="O52" i="23"/>
  <c r="D49" i="23" l="1"/>
  <c r="G50" i="23"/>
  <c r="H50" i="23" s="1"/>
  <c r="D50" i="23"/>
  <c r="E50" i="23" s="1"/>
  <c r="G52" i="23"/>
  <c r="D52" i="23"/>
  <c r="E52" i="23" s="1"/>
  <c r="D48" i="23"/>
  <c r="G48" i="23"/>
  <c r="D64" i="23"/>
  <c r="E64" i="23" s="1"/>
  <c r="G64" i="23"/>
  <c r="H64" i="23" s="1"/>
  <c r="D65" i="23"/>
  <c r="E65" i="23" s="1"/>
  <c r="G65" i="23"/>
  <c r="H65" i="23" s="1"/>
  <c r="G66" i="23"/>
  <c r="D63" i="23"/>
  <c r="G63" i="23"/>
  <c r="D66" i="23"/>
  <c r="J48" i="23"/>
  <c r="K48" i="23" s="1"/>
  <c r="G50" i="24"/>
  <c r="J52" i="23"/>
  <c r="K52" i="23" s="1"/>
  <c r="J50" i="23"/>
  <c r="K50" i="23" s="1"/>
  <c r="K16" i="24"/>
  <c r="D51" i="23"/>
  <c r="D53" i="23"/>
  <c r="G49" i="24"/>
  <c r="D54" i="23" l="1"/>
  <c r="D46" i="24"/>
  <c r="F46" i="24" s="1"/>
  <c r="L46" i="24" s="1"/>
  <c r="D67" i="23"/>
  <c r="D55" i="23"/>
  <c r="E55" i="23" s="1"/>
  <c r="H48" i="23"/>
  <c r="G54" i="23"/>
  <c r="H54" i="23" s="1"/>
  <c r="G67" i="23"/>
  <c r="E63" i="23"/>
  <c r="C68" i="23" s="1"/>
  <c r="H63" i="23"/>
  <c r="E48" i="23"/>
  <c r="D41" i="24"/>
  <c r="F41" i="24" s="1"/>
  <c r="L41" i="24" s="1"/>
  <c r="D36" i="24"/>
  <c r="F36" i="24" s="1"/>
  <c r="L36" i="24" s="1"/>
  <c r="J56" i="23"/>
  <c r="I56" i="23"/>
  <c r="H52" i="23"/>
  <c r="J54" i="23"/>
  <c r="K54" i="23" s="1"/>
  <c r="L48" i="24" l="1"/>
  <c r="E54" i="23"/>
  <c r="F56" i="23"/>
  <c r="D68" i="23"/>
  <c r="E68" i="23" s="1"/>
  <c r="G68" i="23"/>
  <c r="F68" i="23"/>
  <c r="D56" i="23"/>
  <c r="C56" i="23"/>
  <c r="K56" i="23"/>
  <c r="G56" i="23"/>
  <c r="E56" i="23" l="1"/>
  <c r="K50" i="24" s="1"/>
  <c r="C59" i="23" s="1"/>
  <c r="H56" i="23"/>
  <c r="H68" i="23"/>
  <c r="G57" i="23" l="1"/>
  <c r="J57" i="23"/>
  <c r="D58" i="23"/>
  <c r="D57" i="23"/>
  <c r="M50" i="24" s="1"/>
  <c r="L52" i="24" s="1"/>
  <c r="I57" i="24" l="1"/>
  <c r="M2" i="23" s="1"/>
  <c r="L54" i="24" l="1"/>
  <c r="M4" i="23"/>
  <c r="N4" i="23" s="1"/>
  <c r="M10" i="23"/>
  <c r="N10" i="23" s="1"/>
  <c r="M9" i="23"/>
  <c r="N9" i="23" s="1"/>
  <c r="M7" i="23"/>
  <c r="N7" i="23" s="1"/>
  <c r="N5" i="23"/>
  <c r="M6" i="23"/>
  <c r="K16" i="23" s="1"/>
  <c r="I60" i="24" s="1"/>
  <c r="M8" i="23"/>
  <c r="N8" i="23" s="1"/>
  <c r="M3" i="23"/>
  <c r="N3" i="23" s="1"/>
  <c r="M11" i="23"/>
  <c r="N11" i="23" s="1"/>
  <c r="N6" i="23" l="1"/>
  <c r="L16" i="23" s="1"/>
  <c r="I59" i="24" s="1"/>
</calcChain>
</file>

<file path=xl/comments1.xml><?xml version="1.0" encoding="utf-8"?>
<comments xmlns="http://schemas.openxmlformats.org/spreadsheetml/2006/main">
  <authors>
    <author>大内章広</author>
  </authors>
  <commentList>
    <comment ref="H16" authorId="0" shapeId="0">
      <text>
        <r>
          <rPr>
            <sz val="11"/>
            <color indexed="81"/>
            <rFont val="HGPｺﾞｼｯｸE"/>
            <family val="3"/>
            <charset val="128"/>
          </rPr>
          <t>給与所得、公的年金所得の両方を有する者の所得調整控除額</t>
        </r>
      </text>
    </comment>
  </commentList>
</comments>
</file>

<file path=xl/sharedStrings.xml><?xml version="1.0" encoding="utf-8"?>
<sst xmlns="http://schemas.openxmlformats.org/spreadsheetml/2006/main" count="238" uniqueCount="148">
  <si>
    <t>合計所得金額</t>
  </si>
  <si>
    <t>基礎控除額</t>
  </si>
  <si>
    <t>＝</t>
  </si>
  <si>
    <t>医療分</t>
    <rPh sb="0" eb="2">
      <t>イリョウ</t>
    </rPh>
    <rPh sb="2" eb="3">
      <t>ブン</t>
    </rPh>
    <phoneticPr fontId="2"/>
  </si>
  <si>
    <t>介護分</t>
    <rPh sb="0" eb="2">
      <t>カイゴ</t>
    </rPh>
    <rPh sb="2" eb="3">
      <t>ブン</t>
    </rPh>
    <phoneticPr fontId="2"/>
  </si>
  <si>
    <t>月</t>
    <rPh sb="0" eb="1">
      <t>ツキ</t>
    </rPh>
    <phoneticPr fontId="2"/>
  </si>
  <si>
    <t xml:space="preserve">     給与所得表</t>
  </si>
  <si>
    <t xml:space="preserve">      年金所得表</t>
  </si>
  <si>
    <t>給与収入</t>
  </si>
  <si>
    <t>年金65未満</t>
  </si>
  <si>
    <t>年金収入</t>
  </si>
  <si>
    <t>65以上</t>
  </si>
  <si>
    <t>（65歳未満）</t>
    <rPh sb="4" eb="6">
      <t>ミマン</t>
    </rPh>
    <phoneticPr fontId="2"/>
  </si>
  <si>
    <t>（65歳以上）</t>
    <rPh sb="4" eb="6">
      <t>イジョウ</t>
    </rPh>
    <phoneticPr fontId="2"/>
  </si>
  <si>
    <t>期割計算表</t>
    <rPh sb="0" eb="1">
      <t>キ</t>
    </rPh>
    <rPh sb="1" eb="2">
      <t>ワリ</t>
    </rPh>
    <rPh sb="2" eb="4">
      <t>ケイサン</t>
    </rPh>
    <rPh sb="4" eb="5">
      <t>ヒョウ</t>
    </rPh>
    <phoneticPr fontId="2"/>
  </si>
  <si>
    <t>年税額</t>
    <rPh sb="0" eb="3">
      <t>ネンゼイガク</t>
    </rPh>
    <phoneticPr fontId="2"/>
  </si>
  <si>
    <t>年度別</t>
    <rPh sb="0" eb="2">
      <t>ネンド</t>
    </rPh>
    <rPh sb="2" eb="3">
      <t>ベツ</t>
    </rPh>
    <phoneticPr fontId="2"/>
  </si>
  <si>
    <t>均等割</t>
    <rPh sb="0" eb="2">
      <t>キントウ</t>
    </rPh>
    <rPh sb="2" eb="3">
      <t>ワリ</t>
    </rPh>
    <phoneticPr fontId="2"/>
  </si>
  <si>
    <t>平等割</t>
    <rPh sb="0" eb="2">
      <t>ビョウドウ</t>
    </rPh>
    <rPh sb="2" eb="3">
      <t>ワリ</t>
    </rPh>
    <phoneticPr fontId="2"/>
  </si>
  <si>
    <t>医療</t>
    <rPh sb="0" eb="2">
      <t>イリョウ</t>
    </rPh>
    <phoneticPr fontId="2"/>
  </si>
  <si>
    <t>介護</t>
    <rPh sb="0" eb="2">
      <t>カイゴ</t>
    </rPh>
    <phoneticPr fontId="2"/>
  </si>
  <si>
    <t>均等割</t>
    <rPh sb="0" eb="3">
      <t>キントウワリ</t>
    </rPh>
    <phoneticPr fontId="2"/>
  </si>
  <si>
    <t>所得割</t>
    <rPh sb="0" eb="2">
      <t>ショトク</t>
    </rPh>
    <rPh sb="2" eb="3">
      <t>ワリ</t>
    </rPh>
    <phoneticPr fontId="2"/>
  </si>
  <si>
    <t>限度額</t>
    <rPh sb="0" eb="2">
      <t>ゲンド</t>
    </rPh>
    <rPh sb="2" eb="3">
      <t>ガク</t>
    </rPh>
    <phoneticPr fontId="2"/>
  </si>
  <si>
    <t>返す値</t>
    <rPh sb="0" eb="1">
      <t>カエ</t>
    </rPh>
    <rPh sb="2" eb="3">
      <t>アタイ</t>
    </rPh>
    <phoneticPr fontId="2"/>
  </si>
  <si>
    <t>期別</t>
    <rPh sb="0" eb="1">
      <t>キ</t>
    </rPh>
    <rPh sb="1" eb="2">
      <t>ベツ</t>
    </rPh>
    <phoneticPr fontId="2"/>
  </si>
  <si>
    <t>基礎控除</t>
    <rPh sb="0" eb="2">
      <t>キソ</t>
    </rPh>
    <rPh sb="2" eb="4">
      <t>コウジョ</t>
    </rPh>
    <phoneticPr fontId="2"/>
  </si>
  <si>
    <t>の該当箇所を入力してください。</t>
    <rPh sb="1" eb="3">
      <t>ガイトウ</t>
    </rPh>
    <rPh sb="3" eb="5">
      <t>カショ</t>
    </rPh>
    <rPh sb="6" eb="8">
      <t>ニュウリョク</t>
    </rPh>
    <phoneticPr fontId="2"/>
  </si>
  <si>
    <t>国保税通知発送月</t>
    <rPh sb="0" eb="2">
      <t>コクホ</t>
    </rPh>
    <rPh sb="2" eb="3">
      <t>ゼイ</t>
    </rPh>
    <rPh sb="3" eb="5">
      <t>ツウチ</t>
    </rPh>
    <rPh sb="5" eb="7">
      <t>ハッソウ</t>
    </rPh>
    <rPh sb="7" eb="8">
      <t>ツキ</t>
    </rPh>
    <phoneticPr fontId="2"/>
  </si>
  <si>
    <t>高齢者支援分</t>
    <rPh sb="0" eb="3">
      <t>コウレイシャ</t>
    </rPh>
    <rPh sb="3" eb="5">
      <t>シエン</t>
    </rPh>
    <rPh sb="5" eb="6">
      <t>ブン</t>
    </rPh>
    <phoneticPr fontId="2"/>
  </si>
  <si>
    <t>医療＋
支援＋
介護</t>
    <rPh sb="0" eb="2">
      <t>イリョウ</t>
    </rPh>
    <rPh sb="4" eb="6">
      <t>シエン</t>
    </rPh>
    <rPh sb="8" eb="10">
      <t>カイゴ</t>
    </rPh>
    <phoneticPr fontId="2"/>
  </si>
  <si>
    <t>支援</t>
    <rPh sb="0" eb="2">
      <t>シエン</t>
    </rPh>
    <phoneticPr fontId="2"/>
  </si>
  <si>
    <t>均等割</t>
    <rPh sb="0" eb="2">
      <t>キントウ</t>
    </rPh>
    <rPh sb="2" eb="3">
      <t>ワ</t>
    </rPh>
    <phoneticPr fontId="2"/>
  </si>
  <si>
    <t>軽減前</t>
    <rPh sb="0" eb="2">
      <t>ケイゲン</t>
    </rPh>
    <rPh sb="2" eb="3">
      <t>マエ</t>
    </rPh>
    <phoneticPr fontId="2"/>
  </si>
  <si>
    <t>軽減</t>
    <rPh sb="0" eb="2">
      <t>ケイゲン</t>
    </rPh>
    <phoneticPr fontId="2"/>
  </si>
  <si>
    <t>軽減判定</t>
    <rPh sb="0" eb="2">
      <t>ケイゲン</t>
    </rPh>
    <rPh sb="2" eb="4">
      <t>ハンテイ</t>
    </rPh>
    <phoneticPr fontId="2"/>
  </si>
  <si>
    <t>年金年齢（65歳未満）</t>
    <rPh sb="0" eb="2">
      <t>ネンキン</t>
    </rPh>
    <rPh sb="2" eb="4">
      <t>ネンレイ</t>
    </rPh>
    <rPh sb="7" eb="8">
      <t>サイ</t>
    </rPh>
    <rPh sb="8" eb="10">
      <t>ミマン</t>
    </rPh>
    <phoneticPr fontId="2"/>
  </si>
  <si>
    <t>年金年齢（65歳以上）</t>
    <rPh sb="0" eb="2">
      <t>ネンキン</t>
    </rPh>
    <rPh sb="2" eb="4">
      <t>ネンレイ</t>
    </rPh>
    <rPh sb="7" eb="8">
      <t>サイ</t>
    </rPh>
    <rPh sb="8" eb="10">
      <t>イジョウ</t>
    </rPh>
    <phoneticPr fontId="2"/>
  </si>
  <si>
    <t>所得の合計</t>
    <rPh sb="0" eb="2">
      <t>ショトク</t>
    </rPh>
    <rPh sb="3" eb="5">
      <t>ゴウケイ</t>
    </rPh>
    <phoneticPr fontId="2"/>
  </si>
  <si>
    <t>２割軽減の基準</t>
    <rPh sb="1" eb="2">
      <t>ワリ</t>
    </rPh>
    <rPh sb="2" eb="4">
      <t>ケイゲン</t>
    </rPh>
    <rPh sb="5" eb="7">
      <t>キジュン</t>
    </rPh>
    <phoneticPr fontId="2"/>
  </si>
  <si>
    <t>軽減（７割）</t>
    <rPh sb="0" eb="2">
      <t>ケイゲン</t>
    </rPh>
    <rPh sb="4" eb="5">
      <t>ワリ</t>
    </rPh>
    <phoneticPr fontId="2"/>
  </si>
  <si>
    <t>５割軽減の基準</t>
    <rPh sb="1" eb="2">
      <t>ワリ</t>
    </rPh>
    <rPh sb="2" eb="4">
      <t>ケイゲン</t>
    </rPh>
    <rPh sb="5" eb="7">
      <t>キジュン</t>
    </rPh>
    <phoneticPr fontId="2"/>
  </si>
  <si>
    <t>７割軽減の基準</t>
    <rPh sb="1" eb="2">
      <t>ワリ</t>
    </rPh>
    <rPh sb="2" eb="4">
      <t>ケイゲン</t>
    </rPh>
    <rPh sb="5" eb="7">
      <t>キジュン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</si>
  <si>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</si>
  <si>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加入人数</t>
    <rPh sb="0" eb="2">
      <t>カニュウ</t>
    </rPh>
    <rPh sb="2" eb="4">
      <t>ニンズウ</t>
    </rPh>
    <phoneticPr fontId="2"/>
  </si>
  <si>
    <t>うち介護該当</t>
    <rPh sb="2" eb="4">
      <t>カイゴ</t>
    </rPh>
    <rPh sb="4" eb="6">
      <t>ガイトウ</t>
    </rPh>
    <phoneticPr fontId="2"/>
  </si>
  <si>
    <t>加入月数</t>
    <rPh sb="0" eb="2">
      <t>カニュウ</t>
    </rPh>
    <rPh sb="2" eb="3">
      <t>ツキ</t>
    </rPh>
    <rPh sb="3" eb="4">
      <t>スウ</t>
    </rPh>
    <phoneticPr fontId="2"/>
  </si>
  <si>
    <t>納付開始月</t>
    <rPh sb="0" eb="2">
      <t>ノウフ</t>
    </rPh>
    <rPh sb="2" eb="4">
      <t>カイシ</t>
    </rPh>
    <rPh sb="4" eb="5">
      <t>ツキ</t>
    </rPh>
    <phoneticPr fontId="2"/>
  </si>
  <si>
    <t>月～3月</t>
    <rPh sb="0" eb="1">
      <t>ツキ</t>
    </rPh>
    <rPh sb="3" eb="4">
      <t>ガツ</t>
    </rPh>
    <phoneticPr fontId="2"/>
  </si>
  <si>
    <t>昭和30年1月2日以降に生まれた人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</si>
  <si>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令和</t>
    <rPh sb="0" eb="2">
      <t>レイワ</t>
    </rPh>
    <phoneticPr fontId="2"/>
  </si>
  <si>
    <t>５割軽減の基準</t>
  </si>
  <si>
    <t>２割軽減の基準</t>
  </si>
  <si>
    <t>昭和30年1月1日以前に生まれた人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</si>
  <si>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昭和31年1月2日以降に生まれた人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</si>
  <si>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昭和31年1月1日以前に生まれた人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</si>
  <si>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給与所得者等の数</t>
    <rPh sb="0" eb="2">
      <t>キュウヨ</t>
    </rPh>
    <rPh sb="2" eb="4">
      <t>ショトク</t>
    </rPh>
    <rPh sb="4" eb="5">
      <t>シャ</t>
    </rPh>
    <rPh sb="5" eb="6">
      <t>トウ</t>
    </rPh>
    <rPh sb="7" eb="8">
      <t>カズ</t>
    </rPh>
    <phoneticPr fontId="2"/>
  </si>
  <si>
    <t>65歳以上</t>
    <rPh sb="2" eb="5">
      <t>サイイジョウ</t>
    </rPh>
    <phoneticPr fontId="2"/>
  </si>
  <si>
    <t>給与収入</t>
    <phoneticPr fontId="2"/>
  </si>
  <si>
    <t>( 擬主用）給与所得表</t>
    <rPh sb="2" eb="3">
      <t>ギ</t>
    </rPh>
    <rPh sb="3" eb="4">
      <t>ヌシ</t>
    </rPh>
    <rPh sb="4" eb="5">
      <t>ヨウ</t>
    </rPh>
    <phoneticPr fontId="2"/>
  </si>
  <si>
    <t>年金受給者の数</t>
    <rPh sb="0" eb="2">
      <t>ネンキン</t>
    </rPh>
    <rPh sb="2" eb="4">
      <t>ジュキュウ</t>
    </rPh>
    <rPh sb="4" eb="5">
      <t>シャ</t>
    </rPh>
    <rPh sb="6" eb="7">
      <t>カズ</t>
    </rPh>
    <phoneticPr fontId="2"/>
  </si>
  <si>
    <t>軽減判定に用いる給与所得者等の数</t>
    <rPh sb="0" eb="2">
      <t>ケイゲン</t>
    </rPh>
    <rPh sb="2" eb="4">
      <t>ハンテイ</t>
    </rPh>
    <rPh sb="5" eb="6">
      <t>モチ</t>
    </rPh>
    <rPh sb="8" eb="10">
      <t>キュウヨ</t>
    </rPh>
    <rPh sb="10" eb="12">
      <t>ショトク</t>
    </rPh>
    <rPh sb="12" eb="13">
      <t>シャ</t>
    </rPh>
    <rPh sb="13" eb="14">
      <t>トウ</t>
    </rPh>
    <rPh sb="15" eb="16">
      <t>カズ</t>
    </rPh>
    <phoneticPr fontId="2"/>
  </si>
  <si>
    <t>課税対象所得額</t>
    <rPh sb="0" eb="2">
      <t>カゼイ</t>
    </rPh>
    <rPh sb="2" eb="4">
      <t>タイショウ</t>
    </rPh>
    <rPh sb="4" eb="6">
      <t>ショトク</t>
    </rPh>
    <rPh sb="6" eb="7">
      <t>ガク</t>
    </rPh>
    <phoneticPr fontId="2"/>
  </si>
  <si>
    <t>介護２号該当</t>
    <rPh sb="3" eb="4">
      <t>ゴウ</t>
    </rPh>
    <phoneticPr fontId="2"/>
  </si>
  <si>
    <t>国保加入者</t>
    <rPh sb="0" eb="2">
      <t>コクホ</t>
    </rPh>
    <rPh sb="2" eb="5">
      <t>カニュウシャ</t>
    </rPh>
    <phoneticPr fontId="2"/>
  </si>
  <si>
    <t>加入者①</t>
    <rPh sb="0" eb="3">
      <t>カニュウシャ</t>
    </rPh>
    <phoneticPr fontId="2"/>
  </si>
  <si>
    <t>加入者②</t>
    <rPh sb="0" eb="3">
      <t>カニュウシャ</t>
    </rPh>
    <phoneticPr fontId="2"/>
  </si>
  <si>
    <t>加入者③</t>
    <rPh sb="0" eb="3">
      <t>カニュウシャ</t>
    </rPh>
    <phoneticPr fontId="2"/>
  </si>
  <si>
    <t>加入者④</t>
    <rPh sb="0" eb="3">
      <t>カニュウシャ</t>
    </rPh>
    <phoneticPr fontId="2"/>
  </si>
  <si>
    <t>保険税率</t>
    <rPh sb="0" eb="2">
      <t>ホケン</t>
    </rPh>
    <rPh sb="2" eb="4">
      <t>ゼイリツ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</si>
  <si>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</si>
  <si>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加入者数</t>
    <rPh sb="0" eb="3">
      <t>カニュウシャ</t>
    </rPh>
    <rPh sb="3" eb="4">
      <t>スウ</t>
    </rPh>
    <phoneticPr fontId="2"/>
  </si>
  <si>
    <t>税額</t>
    <rPh sb="0" eb="2">
      <t>ゼイガク</t>
    </rPh>
    <phoneticPr fontId="2"/>
  </si>
  <si>
    <t>均等割額</t>
    <rPh sb="0" eb="3">
      <t>キントウワ</t>
    </rPh>
    <rPh sb="3" eb="4">
      <t>ガク</t>
    </rPh>
    <phoneticPr fontId="2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</si>
  <si>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2"/>
  </si>
  <si>
    <t>後期高齢者
支援金分</t>
    <rPh sb="0" eb="2">
      <t>コウキ</t>
    </rPh>
    <rPh sb="2" eb="5">
      <t>コウレイシャ</t>
    </rPh>
    <rPh sb="6" eb="8">
      <t>シエン</t>
    </rPh>
    <rPh sb="8" eb="9">
      <t>キン</t>
    </rPh>
    <rPh sb="9" eb="10">
      <t>ブン</t>
    </rPh>
    <phoneticPr fontId="2"/>
  </si>
  <si>
    <t>介護納付金分
※40才から65才未満のみ</t>
    <rPh sb="0" eb="2">
      <t>カイゴ</t>
    </rPh>
    <rPh sb="2" eb="5">
      <t>ノウフキン</t>
    </rPh>
    <rPh sb="5" eb="6">
      <t>ブン</t>
    </rPh>
    <phoneticPr fontId="2"/>
  </si>
  <si>
    <t>世帯数</t>
    <rPh sb="0" eb="2">
      <t>セタイ</t>
    </rPh>
    <rPh sb="2" eb="3">
      <t>スウ</t>
    </rPh>
    <phoneticPr fontId="2"/>
  </si>
  <si>
    <t>１世帯</t>
    <rPh sb="1" eb="3">
      <t>セタイ</t>
    </rPh>
    <phoneticPr fontId="2"/>
  </si>
  <si>
    <t>所得割（A)</t>
    <rPh sb="0" eb="2">
      <t>ショトク</t>
    </rPh>
    <rPh sb="2" eb="3">
      <t>ワリ</t>
    </rPh>
    <phoneticPr fontId="2"/>
  </si>
  <si>
    <t>均等割（1人あたり）（B)</t>
    <rPh sb="0" eb="3">
      <t>キントウワ</t>
    </rPh>
    <rPh sb="5" eb="6">
      <t>ニン</t>
    </rPh>
    <phoneticPr fontId="2"/>
  </si>
  <si>
    <t>平等割（１世帯あたり）（C)</t>
    <rPh sb="0" eb="2">
      <t>ビョウドウ</t>
    </rPh>
    <rPh sb="2" eb="3">
      <t>ワリ</t>
    </rPh>
    <rPh sb="5" eb="7">
      <t>セタイ</t>
    </rPh>
    <phoneticPr fontId="2"/>
  </si>
  <si>
    <t>給与収入</t>
    <rPh sb="0" eb="2">
      <t>キュウヨ</t>
    </rPh>
    <rPh sb="2" eb="4">
      <t>シュウニュウ</t>
    </rPh>
    <phoneticPr fontId="2"/>
  </si>
  <si>
    <t>給与所得</t>
    <rPh sb="0" eb="2">
      <t>キュウヨ</t>
    </rPh>
    <rPh sb="2" eb="4">
      <t>ショトク</t>
    </rPh>
    <phoneticPr fontId="2"/>
  </si>
  <si>
    <t>雑所得</t>
    <rPh sb="0" eb="1">
      <t>ザツ</t>
    </rPh>
    <rPh sb="1" eb="3">
      <t>ショトク</t>
    </rPh>
    <phoneticPr fontId="2"/>
  </si>
  <si>
    <t>以下</t>
    <rPh sb="0" eb="2">
      <t>イカ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</si>
  <si>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</si>
  <si>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≪軽減判定≫</t>
    <rPh sb="1" eb="3">
      <t>ケイゲン</t>
    </rPh>
    <rPh sb="3" eb="5">
      <t>ハンテイ</t>
    </rPh>
    <phoneticPr fontId="2"/>
  </si>
  <si>
    <t>積算合計（D)
（A+B+C)</t>
    <rPh sb="0" eb="2">
      <t>セキサン</t>
    </rPh>
    <rPh sb="2" eb="4">
      <t>ゴウケイ</t>
    </rPh>
    <phoneticPr fontId="2"/>
  </si>
  <si>
    <t>積算合計（E)
（A+B)</t>
    <rPh sb="0" eb="2">
      <t>セキサン</t>
    </rPh>
    <rPh sb="2" eb="4">
      <t>ゴウケイ</t>
    </rPh>
    <phoneticPr fontId="2"/>
  </si>
  <si>
    <t>積算合計（F)
（A+B)</t>
    <rPh sb="0" eb="2">
      <t>セキサン</t>
    </rPh>
    <rPh sb="2" eb="4">
      <t>ゴウケイ</t>
    </rPh>
    <phoneticPr fontId="2"/>
  </si>
  <si>
    <t>積算合計（G)
（D+E+F）</t>
    <rPh sb="0" eb="2">
      <t>セキサン</t>
    </rPh>
    <rPh sb="2" eb="4">
      <t>ゴウケイ</t>
    </rPh>
    <phoneticPr fontId="2"/>
  </si>
  <si>
    <t>軽減額（H)</t>
    <rPh sb="0" eb="2">
      <t>ケイゲン</t>
    </rPh>
    <rPh sb="2" eb="3">
      <t>ガク</t>
    </rPh>
    <phoneticPr fontId="2"/>
  </si>
  <si>
    <t>（社会保険の任意継続との比較の際に参考としてください。）</t>
    <rPh sb="1" eb="3">
      <t>シャカイ</t>
    </rPh>
    <rPh sb="3" eb="5">
      <t>ホケン</t>
    </rPh>
    <phoneticPr fontId="2"/>
  </si>
  <si>
    <t>軽減判定結果</t>
    <rPh sb="0" eb="2">
      <t>ケイゲン</t>
    </rPh>
    <rPh sb="2" eb="4">
      <t>ハンテイ</t>
    </rPh>
    <rPh sb="4" eb="6">
      <t>ケッカ</t>
    </rPh>
    <phoneticPr fontId="2"/>
  </si>
  <si>
    <t>【参考】約１月当たりの税額</t>
    <rPh sb="1" eb="3">
      <t>サンコウ</t>
    </rPh>
    <rPh sb="4" eb="5">
      <t>ヤク</t>
    </rPh>
    <phoneticPr fontId="2"/>
  </si>
  <si>
    <t>課税額</t>
    <rPh sb="0" eb="2">
      <t>カゼイ</t>
    </rPh>
    <rPh sb="2" eb="3">
      <t>ガク</t>
    </rPh>
    <phoneticPr fontId="2"/>
  </si>
  <si>
    <t>×</t>
    <phoneticPr fontId="2"/>
  </si>
  <si>
    <t>=　年税額</t>
    <phoneticPr fontId="2"/>
  </si>
  <si>
    <t>（月割減額後）</t>
    <rPh sb="1" eb="3">
      <t>ツキワ</t>
    </rPh>
    <rPh sb="3" eb="5">
      <t>ゲンガク</t>
    </rPh>
    <rPh sb="5" eb="6">
      <t>ゴ</t>
    </rPh>
    <phoneticPr fontId="2"/>
  </si>
  <si>
    <t xml:space="preserve">国 民 健 康 保 険 税 概 算 算 出 表 </t>
  </si>
  <si>
    <t>年度の保険税額の試算　　</t>
    <rPh sb="3" eb="5">
      <t>ホケン</t>
    </rPh>
    <rPh sb="8" eb="10">
      <t>シサン</t>
    </rPh>
    <phoneticPr fontId="2"/>
  </si>
  <si>
    <t>国民健康保険加入条件の入力</t>
    <rPh sb="11" eb="13">
      <t>ニュウリョク</t>
    </rPh>
    <phoneticPr fontId="2"/>
  </si>
  <si>
    <t>加入者の年齢及び前年の収入状況</t>
    <phoneticPr fontId="2"/>
  </si>
  <si>
    <r>
      <t xml:space="preserve">①年齢
</t>
    </r>
    <r>
      <rPr>
        <b/>
        <sz val="7"/>
        <rFont val="游ゴシック"/>
        <family val="3"/>
        <charset val="128"/>
      </rPr>
      <t>（４月１日基準）</t>
    </r>
    <rPh sb="1" eb="3">
      <t>ネンレイ</t>
    </rPh>
    <rPh sb="6" eb="7">
      <t>ガツ</t>
    </rPh>
    <rPh sb="8" eb="9">
      <t>ニチ</t>
    </rPh>
    <rPh sb="9" eb="11">
      <t>キジュン</t>
    </rPh>
    <phoneticPr fontId="2"/>
  </si>
  <si>
    <t>②給与収入
（給与所得）</t>
    <rPh sb="3" eb="5">
      <t>シュウニュウ</t>
    </rPh>
    <rPh sb="7" eb="9">
      <t>キュウヨ</t>
    </rPh>
    <rPh sb="9" eb="11">
      <t>ショトク</t>
    </rPh>
    <phoneticPr fontId="2"/>
  </si>
  <si>
    <t>③年金収入（※１月１日基準）</t>
    <rPh sb="3" eb="5">
      <t>シュウニュウ</t>
    </rPh>
    <rPh sb="8" eb="9">
      <t>ガツ</t>
    </rPh>
    <rPh sb="10" eb="11">
      <t>ニチ</t>
    </rPh>
    <rPh sb="11" eb="13">
      <t>キジュン</t>
    </rPh>
    <phoneticPr fontId="2"/>
  </si>
  <si>
    <t>⑥失業軽減</t>
    <rPh sb="1" eb="3">
      <t>シツギョウ</t>
    </rPh>
    <rPh sb="3" eb="5">
      <t>ケイゲン</t>
    </rPh>
    <phoneticPr fontId="2"/>
  </si>
  <si>
    <t>擬制世帯主の収入状況</t>
    <phoneticPr fontId="2"/>
  </si>
  <si>
    <t>・国保健康保険の被保険者でない世帯主を擬制世帯主といいます。
・擬制世帯主の所得は、保険税の計算には含みませんが、保険税の軽減措置の判定に用います。</t>
    <rPh sb="1" eb="3">
      <t>コクホ</t>
    </rPh>
    <rPh sb="3" eb="5">
      <t>ケンコウ</t>
    </rPh>
    <rPh sb="5" eb="7">
      <t>ホケン</t>
    </rPh>
    <rPh sb="8" eb="12">
      <t>ヒホケンシャ</t>
    </rPh>
    <rPh sb="15" eb="17">
      <t>セタイ</t>
    </rPh>
    <rPh sb="17" eb="18">
      <t>ヌシ</t>
    </rPh>
    <rPh sb="19" eb="21">
      <t>ギセイ</t>
    </rPh>
    <rPh sb="21" eb="24">
      <t>セタイヌシ</t>
    </rPh>
    <rPh sb="32" eb="34">
      <t>ギセイ</t>
    </rPh>
    <rPh sb="34" eb="37">
      <t>セタイヌシ</t>
    </rPh>
    <rPh sb="38" eb="40">
      <t>ショトク</t>
    </rPh>
    <rPh sb="42" eb="44">
      <t>ホケン</t>
    </rPh>
    <rPh sb="44" eb="45">
      <t>ゼイ</t>
    </rPh>
    <rPh sb="46" eb="48">
      <t>ケイサン</t>
    </rPh>
    <rPh sb="50" eb="51">
      <t>フク</t>
    </rPh>
    <rPh sb="63" eb="65">
      <t>ソチ</t>
    </rPh>
    <phoneticPr fontId="2"/>
  </si>
  <si>
    <t>擬制世帯主</t>
    <rPh sb="0" eb="2">
      <t>ギセイ</t>
    </rPh>
    <rPh sb="2" eb="5">
      <t>セタイヌシ</t>
    </rPh>
    <phoneticPr fontId="2"/>
  </si>
  <si>
    <t>疑主の所得</t>
    <rPh sb="0" eb="1">
      <t>ギ</t>
    </rPh>
    <rPh sb="1" eb="2">
      <t>ヌシ</t>
    </rPh>
    <rPh sb="3" eb="5">
      <t>ショトク</t>
    </rPh>
    <phoneticPr fontId="2"/>
  </si>
  <si>
    <t>雑所得</t>
  </si>
  <si>
    <t>年金収入
（65歳以上）</t>
    <rPh sb="0" eb="2">
      <t>ネンキン</t>
    </rPh>
    <rPh sb="2" eb="4">
      <t>シュウニュウ</t>
    </rPh>
    <phoneticPr fontId="2"/>
  </si>
  <si>
    <t>年金収入
（65歳未満）</t>
    <rPh sb="0" eb="2">
      <t>ネンキン</t>
    </rPh>
    <rPh sb="2" eb="4">
      <t>シュウニュウ</t>
    </rPh>
    <phoneticPr fontId="2"/>
  </si>
  <si>
    <t>その他所得金額</t>
    <rPh sb="2" eb="3">
      <t>タ</t>
    </rPh>
    <rPh sb="3" eb="5">
      <t>ショトク</t>
    </rPh>
    <rPh sb="5" eb="7">
      <t>キンガク</t>
    </rPh>
    <phoneticPr fontId="2"/>
  </si>
  <si>
    <t>入力は以上です。
試算結果は、次ページをご覧ください。</t>
    <rPh sb="0" eb="2">
      <t>ニュウリョク</t>
    </rPh>
    <rPh sb="3" eb="5">
      <t>イジョウ</t>
    </rPh>
    <rPh sb="9" eb="11">
      <t>シサン</t>
    </rPh>
    <rPh sb="11" eb="13">
      <t>ケッカ</t>
    </rPh>
    <rPh sb="15" eb="16">
      <t>ジ</t>
    </rPh>
    <rPh sb="21" eb="22">
      <t>ラン</t>
    </rPh>
    <phoneticPr fontId="2"/>
  </si>
  <si>
    <t>・　国民健康保険に加入する月数、納付開始月（加入手続きの翌月）を入力してください。※　1年間の試算を行う場合は、固定値</t>
    <rPh sb="2" eb="4">
      <t>コクミン</t>
    </rPh>
    <rPh sb="4" eb="6">
      <t>ケンコウ</t>
    </rPh>
    <rPh sb="6" eb="8">
      <t>ホケン</t>
    </rPh>
    <rPh sb="9" eb="11">
      <t>カニュウ</t>
    </rPh>
    <rPh sb="13" eb="14">
      <t>ツキ</t>
    </rPh>
    <rPh sb="14" eb="15">
      <t>スウ</t>
    </rPh>
    <rPh sb="16" eb="18">
      <t>ノウフ</t>
    </rPh>
    <rPh sb="18" eb="20">
      <t>カイシ</t>
    </rPh>
    <rPh sb="20" eb="21">
      <t>ツキ</t>
    </rPh>
    <rPh sb="22" eb="24">
      <t>カニュウ</t>
    </rPh>
    <rPh sb="24" eb="26">
      <t>テツヅ</t>
    </rPh>
    <rPh sb="28" eb="30">
      <t>ヨクゲツ</t>
    </rPh>
    <rPh sb="32" eb="34">
      <t>ニュウリョク</t>
    </rPh>
    <phoneticPr fontId="2"/>
  </si>
  <si>
    <t>④総合課税所得</t>
    <rPh sb="1" eb="3">
      <t>ソウゴウ</t>
    </rPh>
    <rPh sb="3" eb="5">
      <t>カゼイ</t>
    </rPh>
    <rPh sb="5" eb="7">
      <t>ショトク</t>
    </rPh>
    <phoneticPr fontId="2"/>
  </si>
  <si>
    <t>⑤分離課税所得</t>
    <phoneticPr fontId="2"/>
  </si>
  <si>
    <t>昭和32年1月2日以降に生まれた人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</si>
  <si>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昭和32年1月2日以前に生まれた人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</si>
  <si>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未就学児の数</t>
    <rPh sb="0" eb="4">
      <t>ミシュウガクジ</t>
    </rPh>
    <rPh sb="5" eb="6">
      <t>カズ</t>
    </rPh>
    <phoneticPr fontId="2"/>
  </si>
  <si>
    <t>軽減（２割）</t>
    <rPh sb="0" eb="2">
      <t>ケイゲン</t>
    </rPh>
    <rPh sb="4" eb="5">
      <t>ワリ</t>
    </rPh>
    <phoneticPr fontId="2"/>
  </si>
  <si>
    <t>軽減（５割）</t>
    <rPh sb="0" eb="2">
      <t>ケイゲン</t>
    </rPh>
    <rPh sb="4" eb="5">
      <t>ワリ</t>
    </rPh>
    <phoneticPr fontId="2"/>
  </si>
  <si>
    <t>≪未就学児軽減≫</t>
    <rPh sb="1" eb="5">
      <t>ミシュウガクジ</t>
    </rPh>
    <rPh sb="5" eb="7">
      <t>ケイゲン</t>
    </rPh>
    <phoneticPr fontId="2"/>
  </si>
  <si>
    <t>年金
△15万</t>
    <rPh sb="0" eb="2">
      <t>ネンキン</t>
    </rPh>
    <rPh sb="6" eb="7">
      <t>マン</t>
    </rPh>
    <phoneticPr fontId="2"/>
  </si>
  <si>
    <t>未就学児軽減</t>
    <rPh sb="0" eb="4">
      <t>ミシュウガクジ</t>
    </rPh>
    <rPh sb="4" eb="6">
      <t>ケイゲン</t>
    </rPh>
    <phoneticPr fontId="2"/>
  </si>
  <si>
    <t>軽減判定</t>
    <rPh sb="0" eb="2">
      <t>ケイゲン</t>
    </rPh>
    <rPh sb="2" eb="4">
      <t>ハンテイ</t>
    </rPh>
    <phoneticPr fontId="2"/>
  </si>
  <si>
    <t>均等割</t>
    <rPh sb="0" eb="3">
      <t>キントウワ</t>
    </rPh>
    <phoneticPr fontId="2"/>
  </si>
  <si>
    <t>軽減なし</t>
    <rPh sb="0" eb="2">
      <t>ケイゲン</t>
    </rPh>
    <phoneticPr fontId="2"/>
  </si>
  <si>
    <t>返す値</t>
  </si>
  <si>
    <t>軽減後均等割</t>
    <rPh sb="0" eb="2">
      <t>ケイゲン</t>
    </rPh>
    <rPh sb="2" eb="3">
      <t>ゴ</t>
    </rPh>
    <rPh sb="3" eb="5">
      <t>キントウ</t>
    </rPh>
    <rPh sb="5" eb="6">
      <t>ワ</t>
    </rPh>
    <phoneticPr fontId="2"/>
  </si>
  <si>
    <t>未就学児の数</t>
    <rPh sb="0" eb="4">
      <t>ミシュウガクジ</t>
    </rPh>
    <rPh sb="5" eb="6">
      <t>カズ</t>
    </rPh>
    <phoneticPr fontId="2"/>
  </si>
  <si>
    <t>軽減判定所得の計算</t>
    <rPh sb="0" eb="2">
      <t>ケイゲン</t>
    </rPh>
    <rPh sb="2" eb="4">
      <t>ハンテイ</t>
    </rPh>
    <rPh sb="4" eb="6">
      <t>ショトク</t>
    </rPh>
    <rPh sb="7" eb="9">
      <t>ケイサン</t>
    </rPh>
    <phoneticPr fontId="2"/>
  </si>
  <si>
    <t>（未就学児均等割軽減対応版）</t>
    <rPh sb="1" eb="5">
      <t>ミシュウガクジ</t>
    </rPh>
    <rPh sb="5" eb="8">
      <t>キントウワ</t>
    </rPh>
    <rPh sb="8" eb="10">
      <t>ケイゲン</t>
    </rPh>
    <rPh sb="10" eb="12">
      <t>タイオウ</t>
    </rPh>
    <rPh sb="12" eb="13">
      <t>バン</t>
    </rPh>
    <phoneticPr fontId="2"/>
  </si>
  <si>
    <t>≪納税通知（期割税額）≫</t>
    <rPh sb="1" eb="3">
      <t>ノウゼイ</t>
    </rPh>
    <rPh sb="3" eb="5">
      <t>ツウチ</t>
    </rPh>
    <rPh sb="6" eb="7">
      <t>キ</t>
    </rPh>
    <rPh sb="7" eb="8">
      <t>ワ</t>
    </rPh>
    <rPh sb="8" eb="10">
      <t>ゼイガク</t>
    </rPh>
    <phoneticPr fontId="2"/>
  </si>
  <si>
    <t>昭和33年1月2日以降に生まれた人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</si>
  <si>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昭和33年1月2日以前に生まれた人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</si>
  <si>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（疑主用） 年金所得表</t>
    <rPh sb="1" eb="2">
      <t>ギ</t>
    </rPh>
    <rPh sb="2" eb="3">
      <t>ヌシ</t>
    </rPh>
    <rPh sb="3" eb="4">
      <t>ヨウ</t>
    </rPh>
    <phoneticPr fontId="2"/>
  </si>
  <si>
    <t>昭和34年1月2日以降に生まれた人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</si>
  <si>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昭和34年1月2日以前に生まれた人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</si>
  <si>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昭和35年1月2日以降に生まれた人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イコウ</t>
    </rPh>
    <rPh sb="12" eb="13">
      <t>ウ</t>
    </rPh>
    <rPh sb="16" eb="17">
      <t>ヒト</t>
    </rPh>
    <phoneticPr fontId="2"/>
  </si>
  <si>
    <t>昭和35年1月2日以前に生まれた人</t>
    <rPh sb="0" eb="2">
      <t>ショウワ</t>
    </rPh>
    <rPh sb="4" eb="5">
      <t>ネン</t>
    </rPh>
    <rPh sb="6" eb="7">
      <t>ガツ</t>
    </rPh>
    <rPh sb="8" eb="9">
      <t>ニチ</t>
    </rPh>
    <rPh sb="9" eb="11">
      <t>イゼン</t>
    </rPh>
    <rPh sb="12" eb="13">
      <t>ウ</t>
    </rPh>
    <rPh sb="16" eb="17">
      <t>ヒト</t>
    </rPh>
    <phoneticPr fontId="2"/>
  </si>
  <si>
    <t>年税額
（G）－（H)</t>
    <phoneticPr fontId="2"/>
  </si>
  <si>
    <t>①加入者全員の、令和7年4月1日時点の年齢を入力してください。
②給与収入のある方は、令和6年分給与所得の源泉徴収票の「支払金額」欄に記載している金額（複数ある場合は、合算額）を入力してください。
③公的年金収入がある方は、令和6年分公的年金等の源泉徴収票の「支払金額」欄に記載している金額（複数ある場合は、合算額）を入力してください。
　※　公的年金収入は、令和7年1月1日時点の年齢（65歳未満、65歳以上）によって、公的年金控除額が変わりますので、正しい欄に入力してください。
④総合課税所得（営業所得、不動産所得、配当所得、雑所得、一時所得等）がある方⇒確定申告書第一表の「所得金額」欄に記載されている金額（収入から必要経費を差し引いた金額）の合計を入力してください。
⑤分離課税所得（山林所得、土地建物の譲渡所得、株式等の譲渡所得、配当所得等）がある方　⇒申告不要制度を選択せず、確定申告書をした（総合課税・申告分離課税を選択した）場合のみ、「所得金額」欄に記載されている金額の合計を入力してください。
⑥会社の倒産や解雇などにより失業し、離職時点で年齢が65歳未満の方は、ドロップダウンリストで”有”を選択してください。
　※「雇用保険受給資格者証(または受給資格通知）」の「離職理由」が「11.12.21.22.23.31.32.33.34」のいずれかの番号がある方が対象です。</t>
    <rPh sb="1" eb="3">
      <t>カニュウ</t>
    </rPh>
    <rPh sb="3" eb="4">
      <t>シャ</t>
    </rPh>
    <rPh sb="4" eb="6">
      <t>ゼンイン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rPh sb="22" eb="24">
      <t>ニュウリョク</t>
    </rPh>
    <rPh sb="33" eb="35">
      <t>キュウヨ</t>
    </rPh>
    <rPh sb="35" eb="37">
      <t>シュウニュウ</t>
    </rPh>
    <rPh sb="40" eb="41">
      <t>カタ</t>
    </rPh>
    <rPh sb="43" eb="45">
      <t>レイワ</t>
    </rPh>
    <rPh sb="46" eb="48">
      <t>ネンブン</t>
    </rPh>
    <rPh sb="48" eb="50">
      <t>キュウヨ</t>
    </rPh>
    <rPh sb="50" eb="52">
      <t>ショトク</t>
    </rPh>
    <rPh sb="53" eb="55">
      <t>ゲンセン</t>
    </rPh>
    <rPh sb="55" eb="58">
      <t>チョウシュウヒョウ</t>
    </rPh>
    <rPh sb="60" eb="62">
      <t>シハライ</t>
    </rPh>
    <rPh sb="62" eb="64">
      <t>キンガク</t>
    </rPh>
    <rPh sb="65" eb="66">
      <t>ラン</t>
    </rPh>
    <rPh sb="67" eb="69">
      <t>キサイ</t>
    </rPh>
    <rPh sb="73" eb="75">
      <t>キンガク</t>
    </rPh>
    <rPh sb="76" eb="78">
      <t>フクスウ</t>
    </rPh>
    <rPh sb="80" eb="82">
      <t>バアイ</t>
    </rPh>
    <rPh sb="84" eb="86">
      <t>ガッサン</t>
    </rPh>
    <rPh sb="86" eb="87">
      <t>ガク</t>
    </rPh>
    <rPh sb="89" eb="91">
      <t>ニュウリョク</t>
    </rPh>
    <rPh sb="100" eb="102">
      <t>コウテキ</t>
    </rPh>
    <rPh sb="102" eb="104">
      <t>ネンキン</t>
    </rPh>
    <rPh sb="104" eb="106">
      <t>シュウニュウ</t>
    </rPh>
    <rPh sb="109" eb="110">
      <t>カタ</t>
    </rPh>
    <rPh sb="112" eb="114">
      <t>レイワ</t>
    </rPh>
    <rPh sb="115" eb="117">
      <t>ネンブン</t>
    </rPh>
    <rPh sb="117" eb="119">
      <t>コウテキ</t>
    </rPh>
    <rPh sb="119" eb="121">
      <t>ネンキン</t>
    </rPh>
    <rPh sb="121" eb="122">
      <t>トウ</t>
    </rPh>
    <rPh sb="123" eb="125">
      <t>ゲンセン</t>
    </rPh>
    <rPh sb="125" eb="128">
      <t>チョウシュウヒョウ</t>
    </rPh>
    <rPh sb="130" eb="132">
      <t>シハライ</t>
    </rPh>
    <rPh sb="132" eb="134">
      <t>キンガク</t>
    </rPh>
    <rPh sb="135" eb="136">
      <t>ラン</t>
    </rPh>
    <rPh sb="137" eb="139">
      <t>キサイ</t>
    </rPh>
    <rPh sb="143" eb="145">
      <t>キンガク</t>
    </rPh>
    <rPh sb="172" eb="174">
      <t>コウテキ</t>
    </rPh>
    <rPh sb="174" eb="176">
      <t>ネンキン</t>
    </rPh>
    <rPh sb="176" eb="178">
      <t>シュウニュウ</t>
    </rPh>
    <rPh sb="180" eb="182">
      <t>レイワ</t>
    </rPh>
    <rPh sb="183" eb="184">
      <t>ネン</t>
    </rPh>
    <rPh sb="185" eb="186">
      <t>ガツ</t>
    </rPh>
    <rPh sb="187" eb="188">
      <t>ニチ</t>
    </rPh>
    <rPh sb="188" eb="190">
      <t>ジテン</t>
    </rPh>
    <rPh sb="191" eb="193">
      <t>ネンレイ</t>
    </rPh>
    <rPh sb="196" eb="197">
      <t>サイ</t>
    </rPh>
    <rPh sb="197" eb="199">
      <t>ミマン</t>
    </rPh>
    <rPh sb="202" eb="203">
      <t>サイ</t>
    </rPh>
    <rPh sb="203" eb="205">
      <t>イジョウ</t>
    </rPh>
    <rPh sb="211" eb="213">
      <t>コウテキ</t>
    </rPh>
    <rPh sb="213" eb="215">
      <t>ネンキン</t>
    </rPh>
    <rPh sb="215" eb="217">
      <t>コウジョ</t>
    </rPh>
    <rPh sb="217" eb="218">
      <t>ガク</t>
    </rPh>
    <rPh sb="219" eb="220">
      <t>カ</t>
    </rPh>
    <rPh sb="227" eb="228">
      <t>タダ</t>
    </rPh>
    <rPh sb="230" eb="231">
      <t>ラン</t>
    </rPh>
    <rPh sb="232" eb="234">
      <t>ニュウリョク</t>
    </rPh>
    <rPh sb="243" eb="245">
      <t>ソウゴウ</t>
    </rPh>
    <rPh sb="245" eb="247">
      <t>カゼイ</t>
    </rPh>
    <rPh sb="247" eb="249">
      <t>ショトク</t>
    </rPh>
    <rPh sb="250" eb="252">
      <t>エイギョウ</t>
    </rPh>
    <rPh sb="252" eb="254">
      <t>ショトク</t>
    </rPh>
    <rPh sb="255" eb="258">
      <t>フドウサン</t>
    </rPh>
    <rPh sb="258" eb="260">
      <t>ショトク</t>
    </rPh>
    <rPh sb="261" eb="263">
      <t>ハイトウ</t>
    </rPh>
    <rPh sb="263" eb="265">
      <t>ショトク</t>
    </rPh>
    <rPh sb="266" eb="269">
      <t>ザツショトク</t>
    </rPh>
    <rPh sb="270" eb="272">
      <t>イチジ</t>
    </rPh>
    <rPh sb="272" eb="274">
      <t>ショトク</t>
    </rPh>
    <rPh sb="274" eb="275">
      <t>トウ</t>
    </rPh>
    <rPh sb="279" eb="280">
      <t>カタ</t>
    </rPh>
    <rPh sb="281" eb="283">
      <t>カクテイ</t>
    </rPh>
    <rPh sb="283" eb="285">
      <t>シンコク</t>
    </rPh>
    <rPh sb="285" eb="286">
      <t>ショ</t>
    </rPh>
    <rPh sb="286" eb="287">
      <t>ダイ</t>
    </rPh>
    <rPh sb="287" eb="289">
      <t>イチヒョウ</t>
    </rPh>
    <rPh sb="291" eb="293">
      <t>ショトク</t>
    </rPh>
    <rPh sb="293" eb="295">
      <t>キンガク</t>
    </rPh>
    <rPh sb="296" eb="297">
      <t>ラン</t>
    </rPh>
    <rPh sb="298" eb="300">
      <t>キサイ</t>
    </rPh>
    <rPh sb="305" eb="307">
      <t>キンガク</t>
    </rPh>
    <rPh sb="329" eb="331">
      <t>ニュウリョク</t>
    </rPh>
    <rPh sb="340" eb="342">
      <t>ブンリ</t>
    </rPh>
    <rPh sb="342" eb="344">
      <t>カゼイ</t>
    </rPh>
    <rPh sb="344" eb="346">
      <t>ショトク</t>
    </rPh>
    <rPh sb="347" eb="349">
      <t>サンリン</t>
    </rPh>
    <rPh sb="349" eb="351">
      <t>ショトク</t>
    </rPh>
    <rPh sb="352" eb="354">
      <t>トチ</t>
    </rPh>
    <rPh sb="354" eb="356">
      <t>タテモノ</t>
    </rPh>
    <rPh sb="357" eb="359">
      <t>ジョウト</t>
    </rPh>
    <rPh sb="359" eb="361">
      <t>ショトク</t>
    </rPh>
    <rPh sb="362" eb="364">
      <t>カブシキ</t>
    </rPh>
    <rPh sb="364" eb="365">
      <t>トウ</t>
    </rPh>
    <rPh sb="366" eb="368">
      <t>ジョウト</t>
    </rPh>
    <rPh sb="368" eb="370">
      <t>ショトク</t>
    </rPh>
    <rPh sb="371" eb="373">
      <t>ハイトウ</t>
    </rPh>
    <rPh sb="373" eb="375">
      <t>ショトク</t>
    </rPh>
    <rPh sb="375" eb="376">
      <t>トウ</t>
    </rPh>
    <rPh sb="380" eb="381">
      <t>カタ</t>
    </rPh>
    <rPh sb="383" eb="385">
      <t>シンコク</t>
    </rPh>
    <rPh sb="385" eb="387">
      <t>フヨウ</t>
    </rPh>
    <rPh sb="387" eb="389">
      <t>セイド</t>
    </rPh>
    <rPh sb="390" eb="392">
      <t>センタク</t>
    </rPh>
    <rPh sb="395" eb="397">
      <t>カクテイ</t>
    </rPh>
    <rPh sb="397" eb="399">
      <t>シンコク</t>
    </rPh>
    <rPh sb="399" eb="400">
      <t>ショ</t>
    </rPh>
    <rPh sb="404" eb="406">
      <t>ソウゴウ</t>
    </rPh>
    <rPh sb="406" eb="408">
      <t>カゼイ</t>
    </rPh>
    <rPh sb="409" eb="411">
      <t>シンコク</t>
    </rPh>
    <rPh sb="411" eb="413">
      <t>ブンリ</t>
    </rPh>
    <rPh sb="413" eb="415">
      <t>カゼイ</t>
    </rPh>
    <rPh sb="416" eb="418">
      <t>センタク</t>
    </rPh>
    <rPh sb="421" eb="423">
      <t>バアイ</t>
    </rPh>
    <rPh sb="427" eb="429">
      <t>ショトク</t>
    </rPh>
    <rPh sb="429" eb="431">
      <t>キンガク</t>
    </rPh>
    <rPh sb="432" eb="433">
      <t>ラン</t>
    </rPh>
    <rPh sb="434" eb="436">
      <t>キサイ</t>
    </rPh>
    <rPh sb="441" eb="443">
      <t>キンガク</t>
    </rPh>
    <rPh sb="444" eb="446">
      <t>ゴウケイ</t>
    </rPh>
    <rPh sb="447" eb="449">
      <t>ニュウリョク</t>
    </rPh>
    <rPh sb="458" eb="460">
      <t>カイシャ</t>
    </rPh>
    <rPh sb="461" eb="463">
      <t>トウサン</t>
    </rPh>
    <rPh sb="464" eb="466">
      <t>カイコ</t>
    </rPh>
    <rPh sb="471" eb="473">
      <t>シツギョウ</t>
    </rPh>
    <rPh sb="475" eb="477">
      <t>リショク</t>
    </rPh>
    <rPh sb="477" eb="479">
      <t>ジテン</t>
    </rPh>
    <rPh sb="480" eb="482">
      <t>ネンレイ</t>
    </rPh>
    <rPh sb="485" eb="488">
      <t>サイミマン</t>
    </rPh>
    <rPh sb="489" eb="490">
      <t>カタ</t>
    </rPh>
    <rPh sb="504" eb="505">
      <t>アリ</t>
    </rPh>
    <rPh sb="507" eb="509">
      <t>センタク</t>
    </rPh>
    <rPh sb="520" eb="522">
      <t>コヨウ</t>
    </rPh>
    <rPh sb="522" eb="524">
      <t>ホケン</t>
    </rPh>
    <rPh sb="524" eb="526">
      <t>ジュキュウ</t>
    </rPh>
    <rPh sb="526" eb="529">
      <t>シカクシャ</t>
    </rPh>
    <rPh sb="529" eb="530">
      <t>ショウ</t>
    </rPh>
    <rPh sb="534" eb="536">
      <t>ジュキュウ</t>
    </rPh>
    <rPh sb="536" eb="538">
      <t>シカク</t>
    </rPh>
    <rPh sb="538" eb="540">
      <t>ツウチ</t>
    </rPh>
    <rPh sb="544" eb="546">
      <t>リショク</t>
    </rPh>
    <rPh sb="546" eb="548">
      <t>リユウ</t>
    </rPh>
    <rPh sb="584" eb="586">
      <t>バンゴウ</t>
    </rPh>
    <rPh sb="589" eb="590">
      <t>カタ</t>
    </rPh>
    <rPh sb="591" eb="593">
      <t>タイショウ</t>
    </rPh>
    <phoneticPr fontId="2"/>
  </si>
  <si>
    <t>令和7年度　浦安市国民健康保険税　税額試算結果</t>
    <phoneticPr fontId="2"/>
  </si>
  <si>
    <t>←暫定です</t>
    <rPh sb="1" eb="3">
      <t>ザンテイ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</si>
</sst>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#&quot;円&quot;"/>
    <numFmt numFmtId="177" formatCode="#,###&quot;人&quot;"/>
    <numFmt numFmtId="178" formatCode="0.0%"/>
    <numFmt numFmtId="179" formatCode="\ #,###&quot;円&quot;"/>
    <numFmt numFmtId="180" formatCode="\ \ #,###&quot;円&quot;"/>
    <numFmt numFmtId="181" formatCode="#,##0&quot;ヶ&quot;&quot;月&quot;"/>
    <numFmt numFmtId="182" formatCode="&quot;各&quot;\ #,###&quot;円&quot;"/>
    <numFmt numFmtId="183" formatCode="#,##0_ "/>
    <numFmt numFmtId="184" formatCode="#,##0_);[Red]\(#,##0\)"/>
    <numFmt numFmtId="185" formatCode="#,##0.0000_);[Red]\(#,##0.0000\)"/>
    <numFmt numFmtId="186" formatCode="#,##0_ ;[Red]\-#,##0\ "/>
    <numFmt numFmtId="187" formatCode="0.00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HGSｺﾞｼｯｸE"/>
      <family val="3"/>
      <charset val="128"/>
    </font>
    <font>
      <sz val="10"/>
      <name val="HGSｺﾞｼｯｸE"/>
      <family val="3"/>
      <charset val="128"/>
    </font>
    <font>
      <sz val="11"/>
      <color rgb="FFFF0000"/>
      <name val="HGSｺﾞｼｯｸE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7"/>
      <name val="游ゴシック"/>
      <family val="3"/>
      <charset val="128"/>
    </font>
    <font>
      <b/>
      <sz val="22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3"/>
      <name val="游ゴシック"/>
      <family val="3"/>
      <charset val="128"/>
    </font>
    <font>
      <sz val="13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sz val="11"/>
      <color indexed="81"/>
      <name val="HGP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413">
    <xf numFmtId="0" fontId="0" fillId="0" borderId="0" xfId="0"/>
    <xf numFmtId="0" fontId="3" fillId="2" borderId="0" xfId="3" applyFont="1" applyFill="1"/>
    <xf numFmtId="38" fontId="3" fillId="2" borderId="0" xfId="2" applyFont="1" applyFill="1"/>
    <xf numFmtId="0" fontId="3" fillId="0" borderId="0" xfId="0" applyFont="1"/>
    <xf numFmtId="0" fontId="3" fillId="3" borderId="0" xfId="3" applyFont="1" applyFill="1"/>
    <xf numFmtId="38" fontId="3" fillId="3" borderId="0" xfId="2" applyFont="1" applyFill="1"/>
    <xf numFmtId="0" fontId="3" fillId="0" borderId="0" xfId="0" applyFont="1" applyAlignment="1">
      <alignment horizontal="center"/>
    </xf>
    <xf numFmtId="186" fontId="3" fillId="5" borderId="0" xfId="3" applyNumberFormat="1" applyFont="1" applyFill="1"/>
    <xf numFmtId="186" fontId="3" fillId="5" borderId="0" xfId="2" applyNumberFormat="1" applyFont="1" applyFill="1"/>
    <xf numFmtId="0" fontId="4" fillId="0" borderId="1" xfId="0" applyNumberFormat="1" applyFont="1" applyBorder="1" applyAlignment="1">
      <alignment horizontal="right" vertical="center"/>
    </xf>
    <xf numFmtId="0" fontId="3" fillId="5" borderId="0" xfId="3" applyFont="1" applyFill="1"/>
    <xf numFmtId="38" fontId="3" fillId="5" borderId="0" xfId="2" applyFont="1" applyFill="1"/>
    <xf numFmtId="0" fontId="3" fillId="0" borderId="0" xfId="3" applyFont="1"/>
    <xf numFmtId="0" fontId="3" fillId="4" borderId="0" xfId="3" applyFont="1" applyFill="1" applyAlignment="1">
      <alignment horizontal="center"/>
    </xf>
    <xf numFmtId="38" fontId="3" fillId="4" borderId="0" xfId="2" applyFont="1" applyFill="1"/>
    <xf numFmtId="0" fontId="3" fillId="6" borderId="0" xfId="3" applyFont="1" applyFill="1"/>
    <xf numFmtId="38" fontId="3" fillId="6" borderId="0" xfId="2" applyFont="1" applyFill="1"/>
    <xf numFmtId="0" fontId="3" fillId="2" borderId="0" xfId="3" applyFont="1" applyFill="1" applyAlignment="1">
      <alignment horizontal="center"/>
    </xf>
    <xf numFmtId="0" fontId="3" fillId="7" borderId="0" xfId="3" applyFont="1" applyFill="1"/>
    <xf numFmtId="38" fontId="3" fillId="7" borderId="0" xfId="2" applyFont="1" applyFill="1"/>
    <xf numFmtId="186" fontId="3" fillId="8" borderId="0" xfId="3" applyNumberFormat="1" applyFont="1" applyFill="1"/>
    <xf numFmtId="186" fontId="3" fillId="8" borderId="0" xfId="2" applyNumberFormat="1" applyFont="1" applyFill="1"/>
    <xf numFmtId="0" fontId="3" fillId="9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8" fontId="3" fillId="0" borderId="0" xfId="2" applyFont="1"/>
    <xf numFmtId="0" fontId="3" fillId="0" borderId="0" xfId="0" applyFont="1" applyFill="1"/>
    <xf numFmtId="38" fontId="3" fillId="0" borderId="0" xfId="2" applyFont="1" applyFill="1"/>
    <xf numFmtId="38" fontId="3" fillId="0" borderId="0" xfId="0" applyNumberFormat="1" applyFont="1" applyFill="1"/>
    <xf numFmtId="0" fontId="3" fillId="13" borderId="0" xfId="0" applyFont="1" applyFill="1"/>
    <xf numFmtId="38" fontId="3" fillId="13" borderId="0" xfId="2" applyFont="1" applyFill="1"/>
    <xf numFmtId="0" fontId="3" fillId="10" borderId="0" xfId="0" applyFont="1" applyFill="1"/>
    <xf numFmtId="185" fontId="3" fillId="10" borderId="0" xfId="0" applyNumberFormat="1" applyFont="1" applyFill="1"/>
    <xf numFmtId="184" fontId="3" fillId="10" borderId="0" xfId="0" applyNumberFormat="1" applyFont="1" applyFill="1"/>
    <xf numFmtId="38" fontId="3" fillId="0" borderId="4" xfId="2" applyFont="1" applyFill="1" applyBorder="1"/>
    <xf numFmtId="38" fontId="3" fillId="0" borderId="5" xfId="2" applyFont="1" applyFill="1" applyBorder="1"/>
    <xf numFmtId="38" fontId="3" fillId="0" borderId="8" xfId="2" applyFont="1" applyFill="1" applyBorder="1"/>
    <xf numFmtId="38" fontId="3" fillId="0" borderId="0" xfId="2" applyFont="1" applyFill="1" applyBorder="1"/>
    <xf numFmtId="0" fontId="3" fillId="0" borderId="8" xfId="3" applyFont="1" applyFill="1" applyBorder="1"/>
    <xf numFmtId="0" fontId="3" fillId="0" borderId="0" xfId="3" applyFont="1" applyFill="1"/>
    <xf numFmtId="38" fontId="3" fillId="0" borderId="0" xfId="3" applyNumberFormat="1" applyFont="1" applyFill="1"/>
    <xf numFmtId="0" fontId="5" fillId="0" borderId="0" xfId="0" applyFont="1"/>
    <xf numFmtId="38" fontId="5" fillId="0" borderId="0" xfId="2" applyFont="1"/>
    <xf numFmtId="176" fontId="5" fillId="0" borderId="0" xfId="0" applyNumberFormat="1" applyFont="1"/>
    <xf numFmtId="176" fontId="5" fillId="13" borderId="0" xfId="0" applyNumberFormat="1" applyFont="1" applyFill="1"/>
    <xf numFmtId="38" fontId="5" fillId="0" borderId="0" xfId="2" applyFont="1" applyFill="1"/>
    <xf numFmtId="176" fontId="5" fillId="0" borderId="0" xfId="0" applyNumberFormat="1" applyFont="1" applyFill="1"/>
    <xf numFmtId="0" fontId="5" fillId="0" borderId="0" xfId="0" applyFont="1" applyFill="1"/>
    <xf numFmtId="38" fontId="3" fillId="13" borderId="0" xfId="0" applyNumberFormat="1" applyFont="1" applyFill="1"/>
    <xf numFmtId="38" fontId="6" fillId="13" borderId="0" xfId="2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176" fontId="7" fillId="0" borderId="1" xfId="0" applyNumberFormat="1" applyFont="1" applyBorder="1" applyAlignment="1" applyProtection="1">
      <alignment horizontal="right" vertical="center"/>
    </xf>
    <xf numFmtId="176" fontId="7" fillId="8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/>
    <xf numFmtId="176" fontId="8" fillId="0" borderId="16" xfId="0" applyNumberFormat="1" applyFont="1" applyFill="1" applyBorder="1" applyAlignment="1" applyProtection="1">
      <alignment horizontal="left" vertical="center"/>
    </xf>
    <xf numFmtId="176" fontId="8" fillId="0" borderId="31" xfId="0" applyNumberFormat="1" applyFont="1" applyBorder="1" applyAlignment="1" applyProtection="1">
      <alignment horizontal="center" vertical="center"/>
    </xf>
    <xf numFmtId="183" fontId="8" fillId="0" borderId="1" xfId="0" applyNumberFormat="1" applyFont="1" applyFill="1" applyBorder="1" applyAlignment="1" applyProtection="1">
      <alignment horizontal="right" vertical="center"/>
    </xf>
    <xf numFmtId="176" fontId="8" fillId="0" borderId="14" xfId="0" applyNumberFormat="1" applyFont="1" applyBorder="1" applyAlignment="1" applyProtection="1">
      <alignment horizontal="right"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12" fillId="15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176" fontId="12" fillId="15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vertical="center"/>
      <protection locked="0"/>
    </xf>
    <xf numFmtId="176" fontId="7" fillId="0" borderId="34" xfId="0" applyNumberFormat="1" applyFont="1" applyBorder="1" applyAlignment="1" applyProtection="1">
      <alignment horizontal="right" vertical="center"/>
    </xf>
    <xf numFmtId="176" fontId="7" fillId="8" borderId="34" xfId="0" applyNumberFormat="1" applyFont="1" applyFill="1" applyBorder="1" applyAlignment="1" applyProtection="1">
      <alignment horizontal="right" vertical="center"/>
      <protection locked="0"/>
    </xf>
    <xf numFmtId="176" fontId="7" fillId="8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10" xfId="0" applyFont="1" applyBorder="1"/>
    <xf numFmtId="0" fontId="9" fillId="15" borderId="0" xfId="0" applyFont="1" applyFill="1"/>
    <xf numFmtId="0" fontId="9" fillId="15" borderId="0" xfId="0" applyFont="1" applyFill="1" applyAlignment="1">
      <alignment vertical="center"/>
    </xf>
    <xf numFmtId="0" fontId="8" fillId="15" borderId="0" xfId="0" applyFont="1" applyFill="1"/>
    <xf numFmtId="177" fontId="9" fillId="15" borderId="0" xfId="0" applyNumberFormat="1" applyFont="1" applyFill="1" applyBorder="1" applyAlignment="1" applyProtection="1">
      <alignment horizontal="center" vertical="center"/>
      <protection locked="0"/>
    </xf>
    <xf numFmtId="0" fontId="9" fillId="15" borderId="0" xfId="0" applyFont="1" applyFill="1" applyBorder="1" applyAlignment="1" applyProtection="1">
      <alignment horizontal="center" vertical="center"/>
      <protection locked="0"/>
    </xf>
    <xf numFmtId="0" fontId="10" fillId="15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9" fillId="15" borderId="0" xfId="0" applyFont="1" applyFill="1" applyAlignment="1">
      <alignment horizontal="right" vertical="center"/>
    </xf>
    <xf numFmtId="0" fontId="9" fillId="15" borderId="0" xfId="0" applyFont="1" applyFill="1" applyAlignment="1">
      <alignment horizontal="center" vertical="center"/>
    </xf>
    <xf numFmtId="0" fontId="10" fillId="15" borderId="0" xfId="0" applyFont="1" applyFill="1"/>
    <xf numFmtId="0" fontId="7" fillId="15" borderId="0" xfId="0" applyFont="1" applyFill="1"/>
    <xf numFmtId="0" fontId="10" fillId="15" borderId="0" xfId="0" applyFont="1" applyFill="1" applyAlignment="1">
      <alignment horizontal="center" vertical="center"/>
    </xf>
    <xf numFmtId="176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 applyProtection="1">
      <alignment horizontal="center" vertical="center"/>
      <protection locked="0"/>
    </xf>
    <xf numFmtId="0" fontId="7" fillId="15" borderId="0" xfId="0" applyFont="1" applyFill="1" applyBorder="1" applyAlignment="1">
      <alignment vertical="center"/>
    </xf>
    <xf numFmtId="176" fontId="8" fillId="15" borderId="0" xfId="0" applyNumberFormat="1" applyFont="1" applyFill="1" applyBorder="1" applyAlignment="1" applyProtection="1">
      <alignment horizontal="center" vertical="center"/>
      <protection locked="0"/>
    </xf>
    <xf numFmtId="176" fontId="8" fillId="15" borderId="0" xfId="0" applyNumberFormat="1" applyFont="1" applyFill="1" applyBorder="1" applyAlignment="1" applyProtection="1">
      <alignment horizontal="right" vertical="center"/>
    </xf>
    <xf numFmtId="176" fontId="8" fillId="15" borderId="0" xfId="0" applyNumberFormat="1" applyFont="1" applyFill="1" applyBorder="1"/>
    <xf numFmtId="176" fontId="7" fillId="15" borderId="0" xfId="0" applyNumberFormat="1" applyFont="1" applyFill="1" applyBorder="1" applyAlignment="1" applyProtection="1">
      <alignment vertical="center"/>
      <protection locked="0"/>
    </xf>
    <xf numFmtId="183" fontId="7" fillId="15" borderId="0" xfId="0" applyNumberFormat="1" applyFont="1" applyFill="1" applyBorder="1" applyAlignment="1" applyProtection="1">
      <alignment horizontal="right" vertical="center"/>
    </xf>
    <xf numFmtId="0" fontId="11" fillId="16" borderId="34" xfId="0" applyFont="1" applyFill="1" applyBorder="1" applyAlignment="1">
      <alignment horizontal="center" vertical="center" shrinkToFit="1"/>
    </xf>
    <xf numFmtId="0" fontId="16" fillId="15" borderId="0" xfId="0" applyFont="1" applyFill="1" applyAlignment="1">
      <alignment vertical="center"/>
    </xf>
    <xf numFmtId="0" fontId="16" fillId="15" borderId="0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left" vertical="center"/>
    </xf>
    <xf numFmtId="0" fontId="17" fillId="19" borderId="1" xfId="0" applyFont="1" applyFill="1" applyBorder="1" applyAlignment="1">
      <alignment horizontal="center" vertical="center"/>
    </xf>
    <xf numFmtId="0" fontId="12" fillId="15" borderId="0" xfId="0" applyFont="1" applyFill="1" applyBorder="1" applyAlignment="1">
      <alignment vertical="center"/>
    </xf>
    <xf numFmtId="0" fontId="18" fillId="15" borderId="0" xfId="0" applyFont="1" applyFill="1" applyBorder="1" applyAlignment="1">
      <alignment horizontal="left" vertical="center"/>
    </xf>
    <xf numFmtId="0" fontId="19" fillId="0" borderId="0" xfId="0" applyFont="1"/>
    <xf numFmtId="176" fontId="8" fillId="0" borderId="45" xfId="0" applyNumberFormat="1" applyFont="1" applyFill="1" applyBorder="1" applyAlignment="1" applyProtection="1">
      <alignment horizontal="right" vertical="center"/>
    </xf>
    <xf numFmtId="176" fontId="8" fillId="8" borderId="45" xfId="0" applyNumberFormat="1" applyFont="1" applyFill="1" applyBorder="1" applyAlignment="1" applyProtection="1">
      <alignment horizontal="right" vertical="center"/>
      <protection locked="0"/>
    </xf>
    <xf numFmtId="179" fontId="9" fillId="8" borderId="34" xfId="0" applyNumberFormat="1" applyFont="1" applyFill="1" applyBorder="1" applyAlignment="1" applyProtection="1">
      <alignment horizontal="right" vertical="center"/>
      <protection locked="0"/>
    </xf>
    <xf numFmtId="0" fontId="16" fillId="15" borderId="19" xfId="0" applyFont="1" applyFill="1" applyBorder="1" applyAlignment="1">
      <alignment horizontal="center"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16" fillId="15" borderId="17" xfId="0" applyFont="1" applyFill="1" applyBorder="1" applyAlignment="1">
      <alignment horizontal="center" vertical="center"/>
    </xf>
    <xf numFmtId="176" fontId="8" fillId="0" borderId="51" xfId="0" applyNumberFormat="1" applyFont="1" applyFill="1" applyBorder="1" applyAlignment="1" applyProtection="1">
      <alignment horizontal="center" vertical="center"/>
    </xf>
    <xf numFmtId="176" fontId="8" fillId="0" borderId="52" xfId="0" applyNumberFormat="1" applyFont="1" applyFill="1" applyBorder="1" applyAlignment="1" applyProtection="1">
      <alignment horizontal="center" vertical="center"/>
    </xf>
    <xf numFmtId="176" fontId="10" fillId="0" borderId="52" xfId="0" applyNumberFormat="1" applyFont="1" applyFill="1" applyBorder="1" applyAlignment="1" applyProtection="1">
      <alignment horizontal="center" vertical="center" wrapText="1"/>
    </xf>
    <xf numFmtId="0" fontId="10" fillId="0" borderId="53" xfId="0" applyFont="1" applyBorder="1" applyAlignment="1" applyProtection="1">
      <alignment horizontal="center" vertical="center"/>
    </xf>
    <xf numFmtId="0" fontId="13" fillId="16" borderId="3" xfId="0" applyFont="1" applyFill="1" applyBorder="1" applyAlignment="1" applyProtection="1">
      <alignment horizontal="center" vertical="center" wrapText="1"/>
    </xf>
    <xf numFmtId="176" fontId="8" fillId="0" borderId="34" xfId="0" applyNumberFormat="1" applyFont="1" applyBorder="1" applyAlignment="1" applyProtection="1">
      <alignment vertical="center"/>
    </xf>
    <xf numFmtId="10" fontId="8" fillId="0" borderId="34" xfId="0" applyNumberFormat="1" applyFont="1" applyBorder="1" applyAlignment="1" applyProtection="1">
      <alignment vertical="center"/>
    </xf>
    <xf numFmtId="177" fontId="8" fillId="0" borderId="34" xfId="0" applyNumberFormat="1" applyFont="1" applyBorder="1" applyAlignment="1" applyProtection="1">
      <alignment vertical="center"/>
    </xf>
    <xf numFmtId="179" fontId="8" fillId="0" borderId="34" xfId="0" applyNumberFormat="1" applyFont="1" applyBorder="1" applyAlignment="1" applyProtection="1">
      <alignment vertical="center"/>
    </xf>
    <xf numFmtId="0" fontId="13" fillId="17" borderId="1" xfId="0" applyFont="1" applyFill="1" applyBorder="1" applyAlignment="1" applyProtection="1">
      <alignment horizontal="center" vertical="center" wrapText="1" shrinkToFi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176" fontId="11" fillId="11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shrinkToFit="1"/>
    </xf>
    <xf numFmtId="176" fontId="11" fillId="0" borderId="1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176" fontId="8" fillId="0" borderId="14" xfId="0" applyNumberFormat="1" applyFont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7" fillId="22" borderId="0" xfId="0" applyFont="1" applyFill="1" applyProtection="1"/>
    <xf numFmtId="0" fontId="16" fillId="22" borderId="0" xfId="0" applyFont="1" applyFill="1" applyAlignment="1" applyProtection="1">
      <alignment vertical="center"/>
    </xf>
    <xf numFmtId="0" fontId="10" fillId="22" borderId="0" xfId="0" applyFont="1" applyFill="1" applyAlignment="1" applyProtection="1">
      <alignment vertical="center"/>
    </xf>
    <xf numFmtId="0" fontId="10" fillId="22" borderId="0" xfId="0" applyFont="1" applyFill="1" applyProtection="1"/>
    <xf numFmtId="0" fontId="12" fillId="22" borderId="0" xfId="0" applyFont="1" applyFill="1" applyAlignment="1" applyProtection="1">
      <alignment horizontal="center" vertical="center"/>
    </xf>
    <xf numFmtId="177" fontId="12" fillId="22" borderId="0" xfId="0" applyNumberFormat="1" applyFont="1" applyFill="1" applyBorder="1" applyAlignment="1" applyProtection="1">
      <alignment horizontal="center" vertical="center"/>
    </xf>
    <xf numFmtId="49" fontId="12" fillId="22" borderId="0" xfId="0" applyNumberFormat="1" applyFont="1" applyFill="1" applyAlignment="1" applyProtection="1">
      <alignment horizontal="center" vertical="center"/>
    </xf>
    <xf numFmtId="181" fontId="12" fillId="22" borderId="0" xfId="0" applyNumberFormat="1" applyFont="1" applyFill="1" applyBorder="1" applyAlignment="1" applyProtection="1">
      <alignment vertical="center"/>
    </xf>
    <xf numFmtId="0" fontId="12" fillId="22" borderId="0" xfId="0" applyFont="1" applyFill="1" applyBorder="1" applyAlignment="1" applyProtection="1">
      <alignment vertical="center"/>
    </xf>
    <xf numFmtId="0" fontId="12" fillId="22" borderId="0" xfId="0" applyFont="1" applyFill="1" applyBorder="1" applyAlignment="1" applyProtection="1">
      <alignment horizontal="left" vertical="center"/>
    </xf>
    <xf numFmtId="0" fontId="12" fillId="22" borderId="0" xfId="0" applyFont="1" applyFill="1" applyBorder="1" applyAlignment="1" applyProtection="1">
      <alignment horizontal="right" vertical="center"/>
    </xf>
    <xf numFmtId="0" fontId="19" fillId="15" borderId="0" xfId="0" applyFont="1" applyFill="1"/>
    <xf numFmtId="183" fontId="10" fillId="15" borderId="0" xfId="0" applyNumberFormat="1" applyFont="1" applyFill="1"/>
    <xf numFmtId="183" fontId="10" fillId="15" borderId="0" xfId="0" applyNumberFormat="1" applyFont="1" applyFill="1" applyAlignment="1">
      <alignment vertical="center"/>
    </xf>
    <xf numFmtId="0" fontId="10" fillId="22" borderId="0" xfId="0" applyFont="1" applyFill="1"/>
    <xf numFmtId="0" fontId="12" fillId="22" borderId="0" xfId="0" applyFont="1" applyFill="1" applyAlignment="1" applyProtection="1">
      <alignment horizontal="center" vertical="center"/>
    </xf>
    <xf numFmtId="176" fontId="11" fillId="11" borderId="14" xfId="0" applyNumberFormat="1" applyFont="1" applyFill="1" applyBorder="1" applyAlignment="1" applyProtection="1">
      <alignment horizontal="right" vertical="center"/>
    </xf>
    <xf numFmtId="176" fontId="11" fillId="11" borderId="16" xfId="0" applyNumberFormat="1" applyFont="1" applyFill="1" applyBorder="1" applyAlignment="1" applyProtection="1">
      <alignment horizontal="right" vertical="center"/>
    </xf>
    <xf numFmtId="0" fontId="12" fillId="22" borderId="0" xfId="0" applyFont="1" applyFill="1" applyAlignment="1" applyProtection="1">
      <alignment horizontal="center" vertical="center"/>
    </xf>
    <xf numFmtId="0" fontId="3" fillId="14" borderId="0" xfId="0" applyFont="1" applyFill="1"/>
    <xf numFmtId="38" fontId="3" fillId="14" borderId="0" xfId="2" applyFont="1" applyFill="1"/>
    <xf numFmtId="38" fontId="3" fillId="14" borderId="0" xfId="0" applyNumberFormat="1" applyFont="1" applyFill="1"/>
    <xf numFmtId="38" fontId="6" fillId="14" borderId="0" xfId="2" applyFont="1" applyFill="1"/>
    <xf numFmtId="0" fontId="12" fillId="22" borderId="0" xfId="0" applyFont="1" applyFill="1" applyAlignment="1" applyProtection="1">
      <alignment horizontal="center" vertical="center"/>
    </xf>
    <xf numFmtId="0" fontId="11" fillId="22" borderId="0" xfId="0" applyFont="1" applyFill="1" applyBorder="1" applyAlignment="1" applyProtection="1">
      <alignment vertical="center"/>
    </xf>
    <xf numFmtId="0" fontId="11" fillId="22" borderId="0" xfId="0" applyFont="1" applyFill="1" applyAlignment="1" applyProtection="1">
      <alignment horizontal="center" vertical="center"/>
    </xf>
    <xf numFmtId="0" fontId="3" fillId="0" borderId="61" xfId="0" applyFont="1" applyBorder="1" applyAlignment="1">
      <alignment horizontal="center"/>
    </xf>
    <xf numFmtId="38" fontId="3" fillId="0" borderId="6" xfId="2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38" fontId="3" fillId="0" borderId="64" xfId="2" applyFont="1" applyFill="1" applyBorder="1"/>
    <xf numFmtId="38" fontId="3" fillId="0" borderId="66" xfId="2" applyFont="1" applyFill="1" applyBorder="1"/>
    <xf numFmtId="38" fontId="3" fillId="0" borderId="68" xfId="2" applyFont="1" applyFill="1" applyBorder="1"/>
    <xf numFmtId="0" fontId="3" fillId="0" borderId="69" xfId="0" applyFont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0" fontId="3" fillId="0" borderId="71" xfId="0" applyFont="1" applyBorder="1" applyAlignment="1">
      <alignment horizontal="center"/>
    </xf>
    <xf numFmtId="38" fontId="3" fillId="0" borderId="65" xfId="3" applyNumberFormat="1" applyFont="1" applyFill="1" applyBorder="1"/>
    <xf numFmtId="38" fontId="3" fillId="0" borderId="63" xfId="2" applyFont="1" applyBorder="1" applyAlignment="1">
      <alignment vertical="center"/>
    </xf>
    <xf numFmtId="38" fontId="3" fillId="0" borderId="67" xfId="2" applyFont="1" applyBorder="1" applyAlignment="1">
      <alignment vertical="center"/>
    </xf>
    <xf numFmtId="38" fontId="3" fillId="0" borderId="67" xfId="2" applyFont="1" applyFill="1" applyBorder="1"/>
    <xf numFmtId="38" fontId="3" fillId="0" borderId="7" xfId="3" applyNumberFormat="1" applyFont="1" applyFill="1" applyBorder="1"/>
    <xf numFmtId="38" fontId="3" fillId="0" borderId="63" xfId="3" applyNumberFormat="1" applyFont="1" applyFill="1" applyBorder="1"/>
    <xf numFmtId="0" fontId="3" fillId="0" borderId="67" xfId="3" applyFont="1" applyFill="1" applyBorder="1"/>
    <xf numFmtId="0" fontId="3" fillId="0" borderId="72" xfId="0" applyFont="1" applyBorder="1" applyAlignment="1">
      <alignment horizontal="center"/>
    </xf>
    <xf numFmtId="38" fontId="3" fillId="0" borderId="61" xfId="2" applyFont="1" applyFill="1" applyBorder="1"/>
    <xf numFmtId="38" fontId="3" fillId="0" borderId="6" xfId="2" applyFont="1" applyFill="1" applyBorder="1"/>
    <xf numFmtId="38" fontId="3" fillId="0" borderId="56" xfId="2" applyFont="1" applyFill="1" applyBorder="1"/>
    <xf numFmtId="38" fontId="3" fillId="0" borderId="73" xfId="2" applyFont="1" applyFill="1" applyBorder="1"/>
    <xf numFmtId="38" fontId="3" fillId="0" borderId="74" xfId="3" applyNumberFormat="1" applyFont="1" applyFill="1" applyBorder="1"/>
    <xf numFmtId="38" fontId="3" fillId="0" borderId="62" xfId="2" applyFont="1" applyFill="1" applyBorder="1"/>
    <xf numFmtId="0" fontId="3" fillId="24" borderId="1" xfId="0" applyFont="1" applyFill="1" applyBorder="1" applyAlignment="1">
      <alignment horizontal="center"/>
    </xf>
    <xf numFmtId="38" fontId="3" fillId="24" borderId="1" xfId="2" applyFont="1" applyFill="1" applyBorder="1"/>
    <xf numFmtId="38" fontId="3" fillId="24" borderId="1" xfId="3" applyNumberFormat="1" applyFont="1" applyFill="1" applyBorder="1"/>
    <xf numFmtId="0" fontId="3" fillId="24" borderId="1" xfId="3" applyFont="1" applyFill="1" applyBorder="1"/>
    <xf numFmtId="0" fontId="3" fillId="24" borderId="1" xfId="0" applyFont="1" applyFill="1" applyBorder="1"/>
    <xf numFmtId="38" fontId="3" fillId="0" borderId="76" xfId="2" applyFont="1" applyFill="1" applyBorder="1"/>
    <xf numFmtId="0" fontId="3" fillId="0" borderId="1" xfId="0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7" fontId="3" fillId="0" borderId="1" xfId="0" applyNumberFormat="1" applyFont="1" applyBorder="1" applyAlignment="1">
      <alignment vertical="center"/>
    </xf>
    <xf numFmtId="38" fontId="3" fillId="0" borderId="8" xfId="3" applyNumberFormat="1" applyFont="1" applyFill="1" applyBorder="1"/>
    <xf numFmtId="38" fontId="3" fillId="0" borderId="71" xfId="3" applyNumberFormat="1" applyFont="1" applyFill="1" applyBorder="1"/>
    <xf numFmtId="38" fontId="3" fillId="24" borderId="16" xfId="3" applyNumberFormat="1" applyFont="1" applyFill="1" applyBorder="1"/>
    <xf numFmtId="38" fontId="3" fillId="0" borderId="75" xfId="2" applyFont="1" applyFill="1" applyBorder="1"/>
    <xf numFmtId="38" fontId="3" fillId="0" borderId="62" xfId="2" applyFont="1" applyBorder="1"/>
    <xf numFmtId="0" fontId="3" fillId="24" borderId="16" xfId="3" applyFont="1" applyFill="1" applyBorder="1"/>
    <xf numFmtId="0" fontId="14" fillId="15" borderId="0" xfId="0" applyFont="1" applyFill="1" applyAlignment="1">
      <alignment horizontal="right" vertical="center"/>
    </xf>
    <xf numFmtId="0" fontId="14" fillId="15" borderId="0" xfId="0" applyFont="1" applyFill="1"/>
    <xf numFmtId="38" fontId="6" fillId="0" borderId="0" xfId="2" applyFont="1" applyFill="1"/>
    <xf numFmtId="0" fontId="11" fillId="16" borderId="1" xfId="0" applyFont="1" applyFill="1" applyBorder="1" applyAlignment="1" applyProtection="1">
      <alignment horizontal="center" vertical="center" wrapText="1" shrinkToFit="1"/>
    </xf>
    <xf numFmtId="0" fontId="11" fillId="16" borderId="32" xfId="0" applyFont="1" applyFill="1" applyBorder="1" applyAlignment="1" applyProtection="1">
      <alignment horizontal="center" vertical="center" wrapText="1" shrinkToFit="1"/>
    </xf>
    <xf numFmtId="0" fontId="11" fillId="21" borderId="1" xfId="0" applyFont="1" applyFill="1" applyBorder="1" applyAlignment="1" applyProtection="1">
      <alignment horizontal="center" vertical="center" wrapText="1" shrinkToFit="1"/>
    </xf>
    <xf numFmtId="0" fontId="11" fillId="17" borderId="1" xfId="0" applyFont="1" applyFill="1" applyBorder="1" applyAlignment="1" applyProtection="1">
      <alignment horizontal="center" vertical="center" wrapText="1" shrinkToFit="1"/>
    </xf>
    <xf numFmtId="0" fontId="11" fillId="16" borderId="1" xfId="0" applyFont="1" applyFill="1" applyBorder="1" applyAlignment="1" applyProtection="1">
      <alignment horizontal="center" vertical="center" shrinkToFit="1"/>
    </xf>
    <xf numFmtId="0" fontId="11" fillId="21" borderId="1" xfId="0" applyFont="1" applyFill="1" applyBorder="1" applyAlignment="1" applyProtection="1">
      <alignment horizontal="center" vertical="center" shrinkToFit="1"/>
    </xf>
    <xf numFmtId="0" fontId="11" fillId="17" borderId="1" xfId="0" applyFont="1" applyFill="1" applyBorder="1" applyAlignment="1" applyProtection="1">
      <alignment horizontal="center" vertical="center" shrinkToFit="1"/>
    </xf>
    <xf numFmtId="176" fontId="11" fillId="0" borderId="54" xfId="0" applyNumberFormat="1" applyFont="1" applyBorder="1" applyAlignment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22" borderId="0" xfId="0" applyFont="1" applyFill="1" applyAlignment="1" applyProtection="1">
      <alignment horizontal="left" vertical="center"/>
    </xf>
    <xf numFmtId="0" fontId="12" fillId="22" borderId="0" xfId="0" applyFont="1" applyFill="1" applyAlignment="1" applyProtection="1">
      <alignment horizontal="center" vertical="center"/>
    </xf>
    <xf numFmtId="0" fontId="6" fillId="13" borderId="0" xfId="0" applyFont="1" applyFill="1"/>
    <xf numFmtId="187" fontId="3" fillId="13" borderId="0" xfId="0" applyNumberFormat="1" applyFont="1" applyFill="1"/>
    <xf numFmtId="177" fontId="8" fillId="0" borderId="69" xfId="0" applyNumberFormat="1" applyFont="1" applyBorder="1" applyAlignment="1" applyProtection="1">
      <alignment vertical="center"/>
    </xf>
    <xf numFmtId="179" fontId="8" fillId="0" borderId="69" xfId="0" applyNumberFormat="1" applyFont="1" applyBorder="1" applyAlignment="1" applyProtection="1">
      <alignment vertical="center"/>
    </xf>
    <xf numFmtId="177" fontId="8" fillId="0" borderId="82" xfId="0" applyNumberFormat="1" applyFont="1" applyBorder="1" applyAlignment="1" applyProtection="1">
      <alignment vertical="center"/>
    </xf>
    <xf numFmtId="179" fontId="8" fillId="0" borderId="82" xfId="0" applyNumberFormat="1" applyFont="1" applyBorder="1" applyAlignment="1" applyProtection="1">
      <alignment vertical="center"/>
    </xf>
    <xf numFmtId="0" fontId="13" fillId="16" borderId="42" xfId="0" applyFont="1" applyFill="1" applyBorder="1" applyAlignment="1" applyProtection="1">
      <alignment horizontal="center" vertical="center" wrapText="1" shrinkToFit="1"/>
    </xf>
    <xf numFmtId="0" fontId="13" fillId="21" borderId="24" xfId="0" applyFont="1" applyFill="1" applyBorder="1" applyAlignment="1" applyProtection="1">
      <alignment horizontal="center" vertical="center" wrapText="1" shrinkToFit="1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54" xfId="0" applyFont="1" applyFill="1" applyBorder="1" applyAlignment="1" applyProtection="1">
      <alignment horizontal="center" vertical="center"/>
    </xf>
    <xf numFmtId="0" fontId="11" fillId="12" borderId="57" xfId="0" applyFont="1" applyFill="1" applyBorder="1" applyAlignment="1" applyProtection="1">
      <alignment horizontal="center" vertical="center"/>
    </xf>
    <xf numFmtId="0" fontId="11" fillId="12" borderId="54" xfId="0" applyFont="1" applyFill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180" fontId="11" fillId="0" borderId="57" xfId="0" applyNumberFormat="1" applyFont="1" applyBorder="1" applyAlignment="1" applyProtection="1">
      <alignment vertical="center"/>
    </xf>
    <xf numFmtId="180" fontId="11" fillId="0" borderId="54" xfId="0" applyNumberFormat="1" applyFont="1" applyBorder="1" applyAlignment="1" applyProtection="1">
      <alignment vertical="center"/>
    </xf>
    <xf numFmtId="0" fontId="3" fillId="13" borderId="0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/>
    </xf>
    <xf numFmtId="38" fontId="3" fillId="13" borderId="0" xfId="3" applyNumberFormat="1" applyFont="1" applyFill="1" applyBorder="1"/>
    <xf numFmtId="38" fontId="3" fillId="13" borderId="0" xfId="2" applyFont="1" applyFill="1" applyBorder="1"/>
    <xf numFmtId="0" fontId="3" fillId="13" borderId="0" xfId="3" applyFont="1" applyFill="1" applyBorder="1"/>
    <xf numFmtId="176" fontId="8" fillId="0" borderId="42" xfId="0" applyNumberFormat="1" applyFont="1" applyBorder="1" applyAlignment="1" applyProtection="1">
      <alignment horizontal="center" vertical="center"/>
    </xf>
    <xf numFmtId="176" fontId="8" fillId="0" borderId="47" xfId="0" applyNumberFormat="1" applyFont="1" applyBorder="1" applyAlignment="1" applyProtection="1">
      <alignment horizontal="center" vertical="center"/>
    </xf>
    <xf numFmtId="179" fontId="12" fillId="0" borderId="80" xfId="0" applyNumberFormat="1" applyFont="1" applyBorder="1" applyAlignment="1" applyProtection="1">
      <alignment horizontal="center" vertical="center"/>
    </xf>
    <xf numFmtId="179" fontId="12" fillId="0" borderId="81" xfId="0" applyNumberFormat="1" applyFont="1" applyBorder="1" applyAlignment="1" applyProtection="1">
      <alignment horizontal="center" vertical="center"/>
    </xf>
    <xf numFmtId="179" fontId="12" fillId="0" borderId="19" xfId="0" applyNumberFormat="1" applyFont="1" applyBorder="1" applyAlignment="1" applyProtection="1">
      <alignment horizontal="center" vertical="center"/>
    </xf>
    <xf numFmtId="179" fontId="12" fillId="0" borderId="20" xfId="0" applyNumberFormat="1" applyFont="1" applyBorder="1" applyAlignment="1" applyProtection="1">
      <alignment horizontal="center" vertical="center"/>
    </xf>
    <xf numFmtId="0" fontId="11" fillId="16" borderId="26" xfId="0" applyFont="1" applyFill="1" applyBorder="1" applyAlignment="1">
      <alignment horizontal="center" vertical="center" shrinkToFit="1"/>
    </xf>
    <xf numFmtId="0" fontId="11" fillId="16" borderId="34" xfId="0" applyFont="1" applyFill="1" applyBorder="1" applyAlignment="1">
      <alignment horizontal="center" vertical="center" shrinkToFit="1"/>
    </xf>
    <xf numFmtId="0" fontId="7" fillId="14" borderId="9" xfId="0" applyFont="1" applyFill="1" applyBorder="1" applyAlignment="1" applyProtection="1">
      <alignment horizontal="center" vertical="center"/>
    </xf>
    <xf numFmtId="0" fontId="7" fillId="14" borderId="10" xfId="0" applyFont="1" applyFill="1" applyBorder="1" applyAlignment="1" applyProtection="1">
      <alignment horizontal="center" vertical="center"/>
    </xf>
    <xf numFmtId="179" fontId="12" fillId="0" borderId="83" xfId="0" applyNumberFormat="1" applyFont="1" applyBorder="1" applyAlignment="1" applyProtection="1">
      <alignment horizontal="center" vertical="center"/>
    </xf>
    <xf numFmtId="179" fontId="12" fillId="0" borderId="22" xfId="0" applyNumberFormat="1" applyFont="1" applyBorder="1" applyAlignment="1" applyProtection="1">
      <alignment horizontal="center" vertical="center"/>
    </xf>
    <xf numFmtId="176" fontId="8" fillId="0" borderId="1" xfId="0" applyNumberFormat="1" applyFont="1" applyBorder="1" applyAlignment="1" applyProtection="1">
      <alignment horizontal="right" vertical="center"/>
    </xf>
    <xf numFmtId="176" fontId="8" fillId="0" borderId="34" xfId="0" applyNumberFormat="1" applyFont="1" applyBorder="1" applyAlignment="1" applyProtection="1">
      <alignment horizontal="right" vertical="center"/>
    </xf>
    <xf numFmtId="0" fontId="13" fillId="18" borderId="17" xfId="0" applyFont="1" applyFill="1" applyBorder="1" applyAlignment="1" applyProtection="1">
      <alignment horizontal="center" vertical="center" wrapText="1" shrinkToFit="1"/>
    </xf>
    <xf numFmtId="0" fontId="13" fillId="18" borderId="0" xfId="0" applyFont="1" applyFill="1" applyBorder="1" applyAlignment="1" applyProtection="1">
      <alignment horizontal="center" vertical="center" wrapText="1" shrinkToFit="1"/>
    </xf>
    <xf numFmtId="0" fontId="13" fillId="18" borderId="19" xfId="0" applyFont="1" applyFill="1" applyBorder="1" applyAlignment="1" applyProtection="1">
      <alignment horizontal="center" vertical="center" wrapText="1" shrinkToFit="1"/>
    </xf>
    <xf numFmtId="176" fontId="7" fillId="0" borderId="48" xfId="0" applyNumberFormat="1" applyFont="1" applyBorder="1" applyAlignment="1" applyProtection="1">
      <alignment horizontal="right"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7" fillId="14" borderId="48" xfId="0" applyFont="1" applyFill="1" applyBorder="1" applyAlignment="1" applyProtection="1">
      <alignment horizontal="center"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4" xfId="0" applyFont="1" applyFill="1" applyBorder="1" applyAlignment="1">
      <alignment horizontal="center" vertical="center"/>
    </xf>
    <xf numFmtId="10" fontId="8" fillId="0" borderId="1" xfId="0" applyNumberFormat="1" applyFont="1" applyBorder="1" applyAlignment="1" applyProtection="1">
      <alignment horizontal="right" vertical="center"/>
    </xf>
    <xf numFmtId="10" fontId="8" fillId="0" borderId="34" xfId="0" applyNumberFormat="1" applyFont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left" vertical="center"/>
    </xf>
    <xf numFmtId="0" fontId="20" fillId="20" borderId="40" xfId="0" applyFont="1" applyFill="1" applyBorder="1" applyAlignment="1">
      <alignment horizontal="center" vertical="center"/>
    </xf>
    <xf numFmtId="0" fontId="20" fillId="20" borderId="55" xfId="0" applyFont="1" applyFill="1" applyBorder="1" applyAlignment="1">
      <alignment horizontal="center" vertical="center"/>
    </xf>
    <xf numFmtId="0" fontId="20" fillId="20" borderId="4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14" borderId="0" xfId="0" applyFont="1" applyFill="1" applyAlignment="1">
      <alignment horizontal="left" vertical="center" wrapText="1"/>
    </xf>
    <xf numFmtId="0" fontId="12" fillId="15" borderId="2" xfId="0" applyFont="1" applyFill="1" applyBorder="1" applyAlignment="1">
      <alignment horizontal="left" vertical="center"/>
    </xf>
    <xf numFmtId="0" fontId="12" fillId="15" borderId="0" xfId="0" applyFont="1" applyFill="1" applyAlignment="1">
      <alignment horizontal="left" vertical="center"/>
    </xf>
    <xf numFmtId="0" fontId="12" fillId="16" borderId="25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/>
    </xf>
    <xf numFmtId="0" fontId="12" fillId="16" borderId="33" xfId="0" applyFont="1" applyFill="1" applyBorder="1" applyAlignment="1">
      <alignment horizontal="center" vertical="center"/>
    </xf>
    <xf numFmtId="0" fontId="12" fillId="16" borderId="34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16" borderId="30" xfId="0" applyFont="1" applyFill="1" applyBorder="1" applyAlignment="1">
      <alignment horizontal="center" vertical="center" wrapText="1"/>
    </xf>
    <xf numFmtId="0" fontId="11" fillId="16" borderId="50" xfId="0" applyFont="1" applyFill="1" applyBorder="1" applyAlignment="1">
      <alignment horizontal="center" vertical="center" wrapText="1"/>
    </xf>
    <xf numFmtId="176" fontId="7" fillId="0" borderId="48" xfId="0" applyNumberFormat="1" applyFont="1" applyBorder="1" applyAlignment="1" applyProtection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</xf>
    <xf numFmtId="176" fontId="7" fillId="0" borderId="9" xfId="0" applyNumberFormat="1" applyFont="1" applyBorder="1" applyAlignment="1" applyProtection="1">
      <alignment horizontal="right" vertical="center"/>
    </xf>
    <xf numFmtId="0" fontId="10" fillId="15" borderId="0" xfId="0" applyFont="1" applyFill="1" applyBorder="1" applyAlignment="1" applyProtection="1">
      <alignment horizontal="center" vertical="center"/>
    </xf>
    <xf numFmtId="0" fontId="10" fillId="15" borderId="0" xfId="0" applyFont="1" applyFill="1" applyBorder="1" applyAlignment="1" applyProtection="1">
      <alignment horizontal="center" vertical="center"/>
      <protection locked="0"/>
    </xf>
    <xf numFmtId="0" fontId="7" fillId="8" borderId="49" xfId="0" applyFont="1" applyFill="1" applyBorder="1" applyAlignment="1" applyProtection="1">
      <alignment horizontal="center" vertical="center"/>
      <protection locked="0"/>
    </xf>
    <xf numFmtId="0" fontId="7" fillId="8" borderId="44" xfId="0" applyFont="1" applyFill="1" applyBorder="1" applyAlignment="1" applyProtection="1">
      <alignment horizontal="center" vertical="center"/>
      <protection locked="0"/>
    </xf>
    <xf numFmtId="0" fontId="7" fillId="8" borderId="43" xfId="0" applyFont="1" applyFill="1" applyBorder="1" applyAlignment="1" applyProtection="1">
      <alignment horizontal="center" vertical="center"/>
      <protection locked="0"/>
    </xf>
    <xf numFmtId="182" fontId="12" fillId="13" borderId="40" xfId="0" applyNumberFormat="1" applyFont="1" applyFill="1" applyBorder="1" applyAlignment="1" applyProtection="1">
      <alignment horizontal="right" vertical="center"/>
    </xf>
    <xf numFmtId="182" fontId="12" fillId="13" borderId="41" xfId="0" applyNumberFormat="1" applyFont="1" applyFill="1" applyBorder="1" applyAlignment="1" applyProtection="1">
      <alignment horizontal="right" vertical="center"/>
    </xf>
    <xf numFmtId="176" fontId="7" fillId="0" borderId="45" xfId="0" applyNumberFormat="1" applyFont="1" applyBorder="1" applyAlignment="1" applyProtection="1">
      <alignment horizontal="right" vertical="center"/>
    </xf>
    <xf numFmtId="0" fontId="13" fillId="18" borderId="37" xfId="0" applyFont="1" applyFill="1" applyBorder="1" applyAlignment="1" applyProtection="1">
      <alignment horizontal="center" vertical="center" wrapText="1" shrinkToFit="1"/>
    </xf>
    <xf numFmtId="0" fontId="13" fillId="18" borderId="18" xfId="0" applyFont="1" applyFill="1" applyBorder="1" applyAlignment="1" applyProtection="1">
      <alignment horizontal="center" vertical="center" wrapText="1" shrinkToFit="1"/>
    </xf>
    <xf numFmtId="0" fontId="13" fillId="18" borderId="2" xfId="0" applyFont="1" applyFill="1" applyBorder="1" applyAlignment="1" applyProtection="1">
      <alignment horizontal="center" vertical="center" wrapText="1" shrinkToFit="1"/>
    </xf>
    <xf numFmtId="0" fontId="13" fillId="18" borderId="38" xfId="0" applyFont="1" applyFill="1" applyBorder="1" applyAlignment="1" applyProtection="1">
      <alignment horizontal="center" vertical="center" wrapText="1" shrinkToFit="1"/>
    </xf>
    <xf numFmtId="0" fontId="13" fillId="18" borderId="39" xfId="0" applyFont="1" applyFill="1" applyBorder="1" applyAlignment="1" applyProtection="1">
      <alignment horizontal="center" vertical="center" wrapText="1" shrinkToFit="1"/>
    </xf>
    <xf numFmtId="0" fontId="13" fillId="18" borderId="20" xfId="0" applyFont="1" applyFill="1" applyBorder="1" applyAlignment="1" applyProtection="1">
      <alignment horizontal="center" vertical="center" wrapText="1" shrinkToFit="1"/>
    </xf>
    <xf numFmtId="0" fontId="11" fillId="21" borderId="27" xfId="0" applyFont="1" applyFill="1" applyBorder="1" applyAlignment="1" applyProtection="1">
      <alignment horizontal="center" vertical="center" wrapText="1" shrinkToFit="1"/>
    </xf>
    <xf numFmtId="0" fontId="11" fillId="21" borderId="28" xfId="0" applyFont="1" applyFill="1" applyBorder="1" applyAlignment="1" applyProtection="1">
      <alignment horizontal="center" vertical="center" wrapText="1" shrinkToFit="1"/>
    </xf>
    <xf numFmtId="0" fontId="11" fillId="21" borderId="29" xfId="0" applyFont="1" applyFill="1" applyBorder="1" applyAlignment="1" applyProtection="1">
      <alignment horizontal="center" vertical="center" wrapText="1" shrinkToFit="1"/>
    </xf>
    <xf numFmtId="180" fontId="12" fillId="13" borderId="40" xfId="0" applyNumberFormat="1" applyFont="1" applyFill="1" applyBorder="1" applyAlignment="1" applyProtection="1">
      <alignment horizontal="right" vertical="center"/>
    </xf>
    <xf numFmtId="180" fontId="12" fillId="13" borderId="41" xfId="0" applyNumberFormat="1" applyFont="1" applyFill="1" applyBorder="1" applyAlignment="1" applyProtection="1">
      <alignment horizontal="right" vertical="center"/>
    </xf>
    <xf numFmtId="178" fontId="12" fillId="0" borderId="21" xfId="1" applyNumberFormat="1" applyFont="1" applyBorder="1" applyAlignment="1" applyProtection="1">
      <alignment horizontal="center" vertical="center" wrapText="1"/>
    </xf>
    <xf numFmtId="178" fontId="12" fillId="0" borderId="18" xfId="1" applyNumberFormat="1" applyFont="1" applyBorder="1" applyAlignment="1" applyProtection="1">
      <alignment horizontal="center" vertical="center"/>
    </xf>
    <xf numFmtId="178" fontId="12" fillId="0" borderId="22" xfId="1" applyNumberFormat="1" applyFont="1" applyBorder="1" applyAlignment="1" applyProtection="1">
      <alignment horizontal="center" vertical="center"/>
    </xf>
    <xf numFmtId="178" fontId="12" fillId="0" borderId="38" xfId="1" applyNumberFormat="1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176" fontId="12" fillId="0" borderId="17" xfId="0" applyNumberFormat="1" applyFont="1" applyBorder="1" applyAlignment="1" applyProtection="1">
      <alignment horizontal="center" vertical="center"/>
    </xf>
    <xf numFmtId="0" fontId="12" fillId="22" borderId="0" xfId="0" applyFont="1" applyFill="1" applyAlignment="1" applyProtection="1">
      <alignment horizontal="left" vertical="center"/>
    </xf>
    <xf numFmtId="0" fontId="12" fillId="17" borderId="21" xfId="0" applyFont="1" applyFill="1" applyBorder="1" applyAlignment="1" applyProtection="1">
      <alignment horizontal="center" vertical="center" wrapText="1"/>
    </xf>
    <xf numFmtId="0" fontId="12" fillId="17" borderId="58" xfId="0" applyFont="1" applyFill="1" applyBorder="1" applyAlignment="1" applyProtection="1">
      <alignment horizontal="center" vertical="center" wrapText="1"/>
    </xf>
    <xf numFmtId="0" fontId="12" fillId="17" borderId="23" xfId="0" applyFont="1" applyFill="1" applyBorder="1" applyAlignment="1" applyProtection="1">
      <alignment horizontal="center" vertical="center" wrapText="1"/>
    </xf>
    <xf numFmtId="0" fontId="12" fillId="17" borderId="56" xfId="0" applyFont="1" applyFill="1" applyBorder="1" applyAlignment="1" applyProtection="1">
      <alignment horizontal="center" vertical="center" wrapText="1"/>
    </xf>
    <xf numFmtId="0" fontId="12" fillId="17" borderId="22" xfId="0" applyFont="1" applyFill="1" applyBorder="1" applyAlignment="1" applyProtection="1">
      <alignment horizontal="center" vertical="center" wrapText="1"/>
    </xf>
    <xf numFmtId="0" fontId="12" fillId="17" borderId="59" xfId="0" applyFont="1" applyFill="1" applyBorder="1" applyAlignment="1" applyProtection="1">
      <alignment horizontal="center" vertical="center" wrapText="1"/>
    </xf>
    <xf numFmtId="0" fontId="12" fillId="21" borderId="25" xfId="0" applyFont="1" applyFill="1" applyBorder="1" applyAlignment="1" applyProtection="1">
      <alignment horizontal="center" vertical="center" wrapText="1"/>
    </xf>
    <xf numFmtId="0" fontId="12" fillId="21" borderId="30" xfId="0" applyFont="1" applyFill="1" applyBorder="1" applyAlignment="1" applyProtection="1">
      <alignment horizontal="center" vertical="center"/>
    </xf>
    <xf numFmtId="0" fontId="12" fillId="21" borderId="31" xfId="0" applyFont="1" applyFill="1" applyBorder="1" applyAlignment="1" applyProtection="1">
      <alignment horizontal="center" vertical="center"/>
    </xf>
    <xf numFmtId="0" fontId="12" fillId="21" borderId="32" xfId="0" applyFont="1" applyFill="1" applyBorder="1" applyAlignment="1" applyProtection="1">
      <alignment horizontal="center" vertical="center"/>
    </xf>
    <xf numFmtId="0" fontId="11" fillId="22" borderId="0" xfId="0" applyFont="1" applyFill="1" applyBorder="1" applyAlignment="1" applyProtection="1">
      <alignment horizontal="center" vertical="center"/>
    </xf>
    <xf numFmtId="0" fontId="11" fillId="16" borderId="27" xfId="0" applyFont="1" applyFill="1" applyBorder="1" applyAlignment="1" applyProtection="1">
      <alignment horizontal="center" vertical="center" wrapText="1" shrinkToFit="1"/>
    </xf>
    <xf numFmtId="0" fontId="11" fillId="16" borderId="28" xfId="0" applyFont="1" applyFill="1" applyBorder="1" applyAlignment="1" applyProtection="1">
      <alignment horizontal="center" vertical="center" wrapText="1" shrinkToFit="1"/>
    </xf>
    <xf numFmtId="0" fontId="11" fillId="16" borderId="29" xfId="0" applyFont="1" applyFill="1" applyBorder="1" applyAlignment="1" applyProtection="1">
      <alignment horizontal="center" vertical="center" wrapText="1" shrinkToFit="1"/>
    </xf>
    <xf numFmtId="0" fontId="11" fillId="16" borderId="60" xfId="0" applyFont="1" applyFill="1" applyBorder="1" applyAlignment="1" applyProtection="1">
      <alignment horizontal="center" vertical="center" wrapText="1" shrinkToFit="1"/>
    </xf>
    <xf numFmtId="0" fontId="12" fillId="14" borderId="0" xfId="0" applyFont="1" applyFill="1" applyAlignment="1">
      <alignment horizontal="center" vertical="center" wrapText="1"/>
    </xf>
    <xf numFmtId="0" fontId="11" fillId="16" borderId="57" xfId="0" applyFont="1" applyFill="1" applyBorder="1" applyAlignment="1">
      <alignment horizontal="center" vertical="center"/>
    </xf>
    <xf numFmtId="0" fontId="11" fillId="16" borderId="54" xfId="0" applyFont="1" applyFill="1" applyBorder="1" applyAlignment="1">
      <alignment horizontal="center" vertical="center"/>
    </xf>
    <xf numFmtId="0" fontId="12" fillId="16" borderId="29" xfId="0" applyFont="1" applyFill="1" applyBorder="1" applyAlignment="1" applyProtection="1">
      <alignment horizontal="center" vertical="center" wrapText="1"/>
    </xf>
    <xf numFmtId="0" fontId="12" fillId="16" borderId="30" xfId="0" applyFont="1" applyFill="1" applyBorder="1" applyAlignment="1" applyProtection="1">
      <alignment horizontal="center" vertical="center"/>
    </xf>
    <xf numFmtId="0" fontId="12" fillId="16" borderId="16" xfId="0" applyFont="1" applyFill="1" applyBorder="1" applyAlignment="1" applyProtection="1">
      <alignment horizontal="center" vertical="center"/>
    </xf>
    <xf numFmtId="0" fontId="12" fillId="16" borderId="32" xfId="0" applyFont="1" applyFill="1" applyBorder="1" applyAlignment="1" applyProtection="1">
      <alignment horizontal="center" vertical="center"/>
    </xf>
    <xf numFmtId="0" fontId="12" fillId="16" borderId="21" xfId="0" applyFont="1" applyFill="1" applyBorder="1" applyAlignment="1" applyProtection="1">
      <alignment horizontal="center" vertical="center"/>
    </xf>
    <xf numFmtId="0" fontId="12" fillId="16" borderId="17" xfId="0" applyFont="1" applyFill="1" applyBorder="1" applyAlignment="1" applyProtection="1">
      <alignment horizontal="center" vertical="center"/>
    </xf>
    <xf numFmtId="0" fontId="12" fillId="16" borderId="23" xfId="0" applyFont="1" applyFill="1" applyBorder="1" applyAlignment="1" applyProtection="1">
      <alignment horizontal="center" vertical="center"/>
    </xf>
    <xf numFmtId="0" fontId="12" fillId="16" borderId="0" xfId="0" applyFont="1" applyFill="1" applyBorder="1" applyAlignment="1" applyProtection="1">
      <alignment horizontal="center" vertical="center"/>
    </xf>
    <xf numFmtId="0" fontId="12" fillId="16" borderId="22" xfId="0" applyFont="1" applyFill="1" applyBorder="1" applyAlignment="1" applyProtection="1">
      <alignment horizontal="center" vertical="center"/>
    </xf>
    <xf numFmtId="0" fontId="12" fillId="16" borderId="19" xfId="0" applyFont="1" applyFill="1" applyBorder="1" applyAlignment="1" applyProtection="1">
      <alignment horizontal="center" vertical="center"/>
    </xf>
    <xf numFmtId="176" fontId="8" fillId="0" borderId="9" xfId="0" applyNumberFormat="1" applyFont="1" applyBorder="1" applyAlignment="1" applyProtection="1">
      <alignment horizontal="right" vertical="center"/>
    </xf>
    <xf numFmtId="176" fontId="8" fillId="0" borderId="45" xfId="0" applyNumberFormat="1" applyFont="1" applyBorder="1" applyAlignment="1" applyProtection="1">
      <alignment horizontal="right" vertical="center"/>
    </xf>
    <xf numFmtId="10" fontId="8" fillId="0" borderId="9" xfId="0" applyNumberFormat="1" applyFont="1" applyBorder="1" applyAlignment="1" applyProtection="1">
      <alignment horizontal="right" vertical="center"/>
    </xf>
    <xf numFmtId="10" fontId="8" fillId="0" borderId="45" xfId="0" applyNumberFormat="1" applyFont="1" applyBorder="1" applyAlignment="1" applyProtection="1">
      <alignment horizontal="right" vertical="center"/>
    </xf>
    <xf numFmtId="0" fontId="11" fillId="16" borderId="26" xfId="0" applyFont="1" applyFill="1" applyBorder="1" applyAlignment="1">
      <alignment horizontal="center" vertical="center" wrapText="1" shrinkToFit="1"/>
    </xf>
    <xf numFmtId="0" fontId="21" fillId="23" borderId="40" xfId="0" applyFont="1" applyFill="1" applyBorder="1" applyAlignment="1">
      <alignment horizontal="center" vertical="center"/>
    </xf>
    <xf numFmtId="0" fontId="21" fillId="23" borderId="55" xfId="0" applyFont="1" applyFill="1" applyBorder="1" applyAlignment="1">
      <alignment horizontal="center" vertical="center"/>
    </xf>
    <xf numFmtId="0" fontId="21" fillId="23" borderId="41" xfId="0" applyFont="1" applyFill="1" applyBorder="1" applyAlignment="1">
      <alignment horizontal="center" vertical="center"/>
    </xf>
    <xf numFmtId="0" fontId="13" fillId="16" borderId="26" xfId="0" applyFont="1" applyFill="1" applyBorder="1" applyAlignment="1">
      <alignment horizontal="center" vertical="center" wrapText="1"/>
    </xf>
    <xf numFmtId="0" fontId="13" fillId="16" borderId="34" xfId="0" applyFont="1" applyFill="1" applyBorder="1" applyAlignment="1">
      <alignment horizontal="center" vertical="center"/>
    </xf>
    <xf numFmtId="0" fontId="13" fillId="16" borderId="34" xfId="0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 applyProtection="1">
      <alignment horizontal="right" vertical="center" shrinkToFit="1"/>
    </xf>
    <xf numFmtId="176" fontId="7" fillId="0" borderId="45" xfId="0" applyNumberFormat="1" applyFont="1" applyBorder="1" applyAlignment="1" applyProtection="1">
      <alignment horizontal="right" vertical="center" shrinkToFit="1"/>
    </xf>
    <xf numFmtId="183" fontId="7" fillId="8" borderId="9" xfId="0" applyNumberFormat="1" applyFont="1" applyFill="1" applyBorder="1" applyAlignment="1" applyProtection="1">
      <alignment horizontal="center" vertical="center"/>
      <protection locked="0"/>
    </xf>
    <xf numFmtId="183" fontId="7" fillId="8" borderId="45" xfId="0" applyNumberFormat="1" applyFont="1" applyFill="1" applyBorder="1" applyAlignment="1" applyProtection="1">
      <alignment horizontal="center" vertical="center"/>
      <protection locked="0"/>
    </xf>
    <xf numFmtId="0" fontId="7" fillId="8" borderId="46" xfId="0" applyFont="1" applyFill="1" applyBorder="1" applyAlignment="1" applyProtection="1">
      <alignment horizontal="center" vertical="center"/>
      <protection locked="0"/>
    </xf>
    <xf numFmtId="0" fontId="7" fillId="14" borderId="45" xfId="0" applyFont="1" applyFill="1" applyBorder="1" applyAlignment="1" applyProtection="1">
      <alignment horizontal="center" vertical="center"/>
    </xf>
    <xf numFmtId="183" fontId="7" fillId="8" borderId="48" xfId="0" applyNumberFormat="1" applyFont="1" applyFill="1" applyBorder="1" applyAlignment="1" applyProtection="1">
      <alignment horizontal="center" vertical="center"/>
      <protection locked="0"/>
    </xf>
    <xf numFmtId="183" fontId="7" fillId="8" borderId="10" xfId="0" applyNumberFormat="1" applyFont="1" applyFill="1" applyBorder="1" applyAlignment="1" applyProtection="1">
      <alignment horizontal="center" vertical="center"/>
      <protection locked="0"/>
    </xf>
    <xf numFmtId="0" fontId="12" fillId="22" borderId="0" xfId="0" applyFont="1" applyFill="1" applyAlignment="1" applyProtection="1">
      <alignment horizontal="center" vertical="center"/>
    </xf>
    <xf numFmtId="179" fontId="14" fillId="0" borderId="17" xfId="0" applyNumberFormat="1" applyFont="1" applyBorder="1" applyAlignment="1" applyProtection="1">
      <alignment horizontal="center" vertical="center"/>
    </xf>
    <xf numFmtId="179" fontId="14" fillId="0" borderId="18" xfId="0" applyNumberFormat="1" applyFont="1" applyBorder="1" applyAlignment="1" applyProtection="1">
      <alignment horizontal="center" vertical="center"/>
    </xf>
    <xf numFmtId="179" fontId="14" fillId="0" borderId="0" xfId="0" applyNumberFormat="1" applyFont="1" applyBorder="1" applyAlignment="1" applyProtection="1">
      <alignment horizontal="center" vertical="center"/>
    </xf>
    <xf numFmtId="179" fontId="14" fillId="0" borderId="20" xfId="0" applyNumberFormat="1" applyFont="1" applyBorder="1" applyAlignment="1" applyProtection="1">
      <alignment horizontal="center" vertical="center"/>
    </xf>
    <xf numFmtId="0" fontId="12" fillId="22" borderId="0" xfId="0" applyFont="1" applyFill="1" applyBorder="1" applyAlignment="1" applyProtection="1">
      <alignment horizontal="center" vertical="center"/>
    </xf>
    <xf numFmtId="0" fontId="12" fillId="22" borderId="56" xfId="0" applyFont="1" applyFill="1" applyBorder="1" applyAlignment="1" applyProtection="1">
      <alignment horizontal="center" vertical="center"/>
    </xf>
    <xf numFmtId="180" fontId="14" fillId="0" borderId="23" xfId="0" applyNumberFormat="1" applyFont="1" applyBorder="1" applyAlignment="1" applyProtection="1">
      <alignment horizontal="center" vertical="center"/>
    </xf>
    <xf numFmtId="180" fontId="14" fillId="0" borderId="38" xfId="0" applyNumberFormat="1" applyFont="1" applyBorder="1" applyAlignment="1" applyProtection="1">
      <alignment horizontal="center" vertical="center"/>
    </xf>
    <xf numFmtId="180" fontId="14" fillId="0" borderId="22" xfId="0" applyNumberFormat="1" applyFont="1" applyBorder="1" applyAlignment="1" applyProtection="1">
      <alignment horizontal="center" vertical="center"/>
    </xf>
    <xf numFmtId="180" fontId="14" fillId="0" borderId="20" xfId="0" applyNumberFormat="1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38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2" fillId="17" borderId="25" xfId="0" applyFont="1" applyFill="1" applyBorder="1" applyAlignment="1" applyProtection="1">
      <alignment horizontal="center" vertical="center" wrapText="1"/>
    </xf>
    <xf numFmtId="0" fontId="12" fillId="17" borderId="30" xfId="0" applyFont="1" applyFill="1" applyBorder="1" applyAlignment="1" applyProtection="1">
      <alignment horizontal="center" vertical="center"/>
    </xf>
    <xf numFmtId="0" fontId="12" fillId="17" borderId="31" xfId="0" applyFont="1" applyFill="1" applyBorder="1" applyAlignment="1" applyProtection="1">
      <alignment horizontal="center" vertical="center"/>
    </xf>
    <xf numFmtId="0" fontId="12" fillId="17" borderId="32" xfId="0" applyFont="1" applyFill="1" applyBorder="1" applyAlignment="1" applyProtection="1">
      <alignment horizontal="center" vertical="center"/>
    </xf>
    <xf numFmtId="179" fontId="12" fillId="0" borderId="36" xfId="0" applyNumberFormat="1" applyFont="1" applyBorder="1" applyAlignment="1" applyProtection="1">
      <alignment horizontal="center" vertical="center"/>
    </xf>
    <xf numFmtId="179" fontId="12" fillId="0" borderId="35" xfId="0" applyNumberFormat="1" applyFont="1" applyBorder="1" applyAlignment="1" applyProtection="1">
      <alignment horizontal="center" vertical="center"/>
    </xf>
    <xf numFmtId="0" fontId="13" fillId="13" borderId="14" xfId="0" applyFont="1" applyFill="1" applyBorder="1" applyAlignment="1" applyProtection="1">
      <alignment horizontal="center" vertical="center" shrinkToFit="1"/>
    </xf>
    <xf numFmtId="0" fontId="13" fillId="13" borderId="16" xfId="0" applyFont="1" applyFill="1" applyBorder="1" applyAlignment="1" applyProtection="1">
      <alignment horizontal="center" vertical="center" shrinkToFit="1"/>
    </xf>
    <xf numFmtId="0" fontId="11" fillId="17" borderId="27" xfId="0" applyFont="1" applyFill="1" applyBorder="1" applyAlignment="1" applyProtection="1">
      <alignment horizontal="center" vertical="center" wrapText="1" shrinkToFit="1"/>
    </xf>
    <xf numFmtId="0" fontId="11" fillId="17" borderId="28" xfId="0" applyFont="1" applyFill="1" applyBorder="1" applyAlignment="1" applyProtection="1">
      <alignment horizontal="center" vertical="center" wrapText="1" shrinkToFit="1"/>
    </xf>
    <xf numFmtId="0" fontId="11" fillId="17" borderId="29" xfId="0" applyFont="1" applyFill="1" applyBorder="1" applyAlignment="1" applyProtection="1">
      <alignment horizontal="center" vertical="center" wrapText="1" shrinkToFit="1"/>
    </xf>
    <xf numFmtId="179" fontId="8" fillId="0" borderId="43" xfId="0" applyNumberFormat="1" applyFont="1" applyBorder="1" applyAlignment="1" applyProtection="1">
      <alignment horizontal="center" vertical="center"/>
    </xf>
    <xf numFmtId="179" fontId="8" fillId="0" borderId="46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12" fillId="21" borderId="21" xfId="0" applyFont="1" applyFill="1" applyBorder="1" applyAlignment="1" applyProtection="1">
      <alignment horizontal="center" vertical="center" wrapText="1"/>
    </xf>
    <xf numFmtId="0" fontId="12" fillId="21" borderId="17" xfId="0" applyFont="1" applyFill="1" applyBorder="1" applyAlignment="1" applyProtection="1">
      <alignment horizontal="center" vertical="center" wrapText="1"/>
    </xf>
    <xf numFmtId="0" fontId="12" fillId="21" borderId="23" xfId="0" applyFont="1" applyFill="1" applyBorder="1" applyAlignment="1" applyProtection="1">
      <alignment horizontal="center" vertical="center" wrapText="1"/>
    </xf>
    <xf numFmtId="0" fontId="12" fillId="21" borderId="0" xfId="0" applyFont="1" applyFill="1" applyBorder="1" applyAlignment="1" applyProtection="1">
      <alignment horizontal="center" vertical="center" wrapText="1"/>
    </xf>
    <xf numFmtId="0" fontId="12" fillId="21" borderId="22" xfId="0" applyFont="1" applyFill="1" applyBorder="1" applyAlignment="1" applyProtection="1">
      <alignment horizontal="center" vertical="center" wrapText="1"/>
    </xf>
    <xf numFmtId="0" fontId="12" fillId="21" borderId="19" xfId="0" applyFont="1" applyFill="1" applyBorder="1" applyAlignment="1" applyProtection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1" xfId="2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56" xfId="0" applyFont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38" fontId="3" fillId="0" borderId="1" xfId="2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パーセント" xfId="1" builtinId="5"/>
    <cellStyle name="桁区切り" xfId="2" builtinId="6"/>
    <cellStyle name="標準" xfId="0" builtinId="0"/>
    <cellStyle name="標準_所得表前" xfId="3"/>
  </cellStyles>
  <dxfs count="0"/>
  <tableStyles count="0" defaultTableStyle="TableStyleMedium2" defaultPivotStyle="PivotStyleLight16"/>
  <colors>
    <mruColors>
      <color rgb="FFFF99FF"/>
      <color rgb="FFFF99CC"/>
      <color rgb="FFFFCCFF"/>
      <color rgb="FF99FFCC"/>
      <color rgb="FFCCFFFF"/>
      <color rgb="FFFFFFCC"/>
      <color rgb="FFFF3399"/>
      <color rgb="FFFF6600"/>
      <color rgb="FF66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312964</xdr:colOff>
      <xdr:row>48</xdr:row>
      <xdr:rowOff>176892</xdr:rowOff>
    </xdr:from>
    <xdr:to>
      <xdr:col>8</xdr:col>
      <xdr:colOff>1061357</xdr:colOff>
      <xdr:row>50</xdr:row>
      <xdr:rowOff>367393</xdr:rowOff>
    </xdr:to>
    <xdr:sp macro="" textlink="">
      <xdr:nvSpPr>
        <xdr:cNvPr id="2" name="右矢印 1"/>
        <xdr:cNvSpPr/>
      </xdr:nvSpPr>
      <xdr:spPr bwMode="auto">
        <a:xfrm>
          <a:off x="8354785" y="17185821"/>
          <a:ext cx="748393" cy="1034143"/>
        </a:xfrm>
        <a:prstGeom prst="rightArrow">
          <a:avLst/>
        </a:prstGeom>
        <a:ln/>
        <a:extLst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57</xdr:row>
          <xdr:rowOff>0</xdr:rowOff>
        </xdr:from>
        <xdr:to>
          <xdr:col>13</xdr:col>
          <xdr:colOff>571500</xdr:colOff>
          <xdr:row>59</xdr:row>
          <xdr:rowOff>66675</xdr:rowOff>
        </xdr:to>
        <xdr:sp macro="" textlink="">
          <xdr:nvSpPr>
            <xdr:cNvPr id="1029" name="CommandButton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FFFF00"/>
    <pageSetUpPr fitToPage="1"/>
  </sheetPr>
  <dimension ref="A1:Q67"/>
  <sheetViews>
    <sheetView tabSelected="1" topLeftCell="A4" zoomScale="70" zoomScaleNormal="70" zoomScaleSheetLayoutView="70" workbookViewId="0">
      <selection activeCell="D16" sqref="D16"/>
    </sheetView>
  </sheetViews>
  <sheetFormatPr defaultRowHeight="18.75" x14ac:dyDescent="0.4"/>
  <cols>
    <col min="1" max="2" width="7.625" style="49" customWidth="1"/>
    <col min="3" max="3" width="11.625" style="49" customWidth="1"/>
    <col min="4" max="11" width="15.625" style="49" customWidth="1"/>
    <col min="12" max="14" width="13.75" style="49" customWidth="1"/>
    <col min="15" max="15" width="8.125" style="49" customWidth="1"/>
    <col min="16" max="16" width="11.875" style="50" bestFit="1" customWidth="1"/>
    <col min="17" max="16384" width="9" style="49"/>
  </cols>
  <sheetData>
    <row r="1" spans="1:17" ht="9" customHeight="1" thickBot="1" x14ac:dyDescent="0.45">
      <c r="A1" s="96"/>
      <c r="B1" s="10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85"/>
      <c r="O1" s="85"/>
    </row>
    <row r="2" spans="1:17" ht="36" thickBot="1" x14ac:dyDescent="0.45">
      <c r="A2" s="96"/>
      <c r="B2" s="258" t="s">
        <v>100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60"/>
      <c r="N2" s="85"/>
      <c r="O2" s="85"/>
    </row>
    <row r="3" spans="1:17" ht="9" customHeight="1" x14ac:dyDescent="0.4">
      <c r="A3" s="96"/>
      <c r="B3" s="10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85"/>
      <c r="O3" s="85"/>
    </row>
    <row r="4" spans="1:17" s="51" customFormat="1" ht="25.5" x14ac:dyDescent="0.5">
      <c r="A4" s="198" t="s">
        <v>50</v>
      </c>
      <c r="B4" s="67">
        <v>7</v>
      </c>
      <c r="C4" s="257" t="s">
        <v>101</v>
      </c>
      <c r="D4" s="257"/>
      <c r="E4" s="257"/>
      <c r="F4" s="199" t="s">
        <v>135</v>
      </c>
      <c r="G4" s="75"/>
      <c r="H4" s="74"/>
      <c r="I4" s="74"/>
      <c r="J4" s="67"/>
      <c r="K4" s="265" t="s">
        <v>27</v>
      </c>
      <c r="L4" s="266"/>
      <c r="M4" s="266"/>
      <c r="N4" s="76"/>
      <c r="O4" s="76"/>
      <c r="P4" s="52"/>
    </row>
    <row r="5" spans="1:17" s="51" customFormat="1" ht="13.5" customHeight="1" x14ac:dyDescent="0.5">
      <c r="A5" s="74"/>
      <c r="B5" s="74"/>
      <c r="C5" s="74"/>
      <c r="D5" s="74"/>
      <c r="E5" s="76"/>
      <c r="F5" s="76"/>
      <c r="G5" s="76"/>
      <c r="H5" s="76"/>
      <c r="I5" s="74"/>
      <c r="J5" s="74"/>
      <c r="K5" s="74"/>
      <c r="L5" s="74"/>
      <c r="M5" s="74"/>
      <c r="N5" s="76"/>
      <c r="O5" s="84"/>
    </row>
    <row r="6" spans="1:17" s="54" customFormat="1" ht="24" x14ac:dyDescent="0.5">
      <c r="A6" s="99">
        <v>1</v>
      </c>
      <c r="B6" s="261" t="s">
        <v>102</v>
      </c>
      <c r="C6" s="262"/>
      <c r="D6" s="263"/>
      <c r="E6" s="100"/>
      <c r="F6" s="100"/>
      <c r="G6" s="100"/>
      <c r="H6" s="100"/>
      <c r="I6" s="100"/>
      <c r="J6" s="74"/>
      <c r="K6" s="75"/>
      <c r="L6" s="77"/>
      <c r="M6" s="78"/>
      <c r="N6" s="79"/>
      <c r="O6" s="79"/>
    </row>
    <row r="7" spans="1:17" s="54" customFormat="1" ht="24" x14ac:dyDescent="0.15">
      <c r="A7" s="98"/>
      <c r="B7" s="264" t="s">
        <v>117</v>
      </c>
      <c r="C7" s="264"/>
      <c r="D7" s="264"/>
      <c r="E7" s="264"/>
      <c r="F7" s="264"/>
      <c r="G7" s="264"/>
      <c r="H7" s="264"/>
      <c r="I7" s="264"/>
      <c r="J7" s="264"/>
      <c r="K7" s="264"/>
      <c r="L7" s="77"/>
      <c r="M7" s="78"/>
      <c r="N7" s="79"/>
      <c r="O7" s="79"/>
    </row>
    <row r="8" spans="1:17" s="53" customFormat="1" ht="24" x14ac:dyDescent="0.5">
      <c r="A8" s="74"/>
      <c r="B8" s="74"/>
      <c r="C8" s="74"/>
      <c r="D8" s="80" t="s">
        <v>46</v>
      </c>
      <c r="E8" s="67">
        <v>12</v>
      </c>
      <c r="F8" s="81" t="s">
        <v>47</v>
      </c>
      <c r="G8" s="67">
        <v>7</v>
      </c>
      <c r="H8" s="68" t="s">
        <v>44</v>
      </c>
      <c r="I8" s="69">
        <f>COUNT(C16:C23)</f>
        <v>0</v>
      </c>
      <c r="J8" s="66" t="s">
        <v>45</v>
      </c>
      <c r="K8" s="69">
        <f>COUNT(L16:L23)</f>
        <v>0</v>
      </c>
      <c r="L8" s="74"/>
      <c r="M8" s="74"/>
      <c r="N8" s="84"/>
      <c r="O8" s="84"/>
      <c r="P8" s="54"/>
    </row>
    <row r="9" spans="1:17" s="53" customFormat="1" ht="12" customHeight="1" x14ac:dyDescent="0.5">
      <c r="A9" s="74"/>
      <c r="B9" s="74"/>
      <c r="C9" s="74"/>
      <c r="D9" s="75"/>
      <c r="E9" s="74"/>
      <c r="F9" s="75"/>
      <c r="G9" s="75"/>
      <c r="H9" s="74"/>
      <c r="I9" s="74"/>
      <c r="J9" s="74"/>
      <c r="K9" s="75"/>
      <c r="L9" s="74"/>
      <c r="M9" s="74"/>
      <c r="N9" s="84"/>
      <c r="O9" s="84"/>
      <c r="P9" s="54"/>
    </row>
    <row r="10" spans="1:17" s="51" customFormat="1" ht="24" x14ac:dyDescent="0.5">
      <c r="A10" s="99">
        <v>2</v>
      </c>
      <c r="B10" s="261" t="s">
        <v>103</v>
      </c>
      <c r="C10" s="262"/>
      <c r="D10" s="262"/>
      <c r="E10" s="263"/>
      <c r="F10" s="82"/>
      <c r="G10" s="83"/>
      <c r="H10" s="75"/>
      <c r="I10" s="74"/>
      <c r="J10" s="74"/>
      <c r="K10" s="75"/>
      <c r="L10" s="74"/>
      <c r="M10" s="74"/>
      <c r="N10" s="76"/>
      <c r="O10" s="76"/>
    </row>
    <row r="11" spans="1:17" s="102" customFormat="1" ht="87" customHeight="1" x14ac:dyDescent="0.4">
      <c r="A11" s="101"/>
      <c r="B11" s="264" t="s">
        <v>145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138"/>
    </row>
    <row r="12" spans="1:17" s="102" customFormat="1" ht="87" customHeight="1" x14ac:dyDescent="0.4">
      <c r="A12" s="101"/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138"/>
    </row>
    <row r="13" spans="1:17" s="102" customFormat="1" ht="87" customHeight="1" thickBot="1" x14ac:dyDescent="0.45">
      <c r="A13" s="101"/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138"/>
    </row>
    <row r="14" spans="1:17" s="53" customFormat="1" ht="19.5" x14ac:dyDescent="0.35">
      <c r="A14" s="267" t="s">
        <v>64</v>
      </c>
      <c r="B14" s="268"/>
      <c r="C14" s="343" t="s">
        <v>104</v>
      </c>
      <c r="D14" s="339" t="s">
        <v>105</v>
      </c>
      <c r="E14" s="253" t="s">
        <v>106</v>
      </c>
      <c r="F14" s="253"/>
      <c r="G14" s="253" t="s">
        <v>118</v>
      </c>
      <c r="H14" s="339" t="s">
        <v>119</v>
      </c>
      <c r="I14" s="239" t="s">
        <v>0</v>
      </c>
      <c r="J14" s="239" t="s">
        <v>1</v>
      </c>
      <c r="K14" s="239" t="s">
        <v>62</v>
      </c>
      <c r="L14" s="343" t="s">
        <v>63</v>
      </c>
      <c r="M14" s="275" t="s">
        <v>107</v>
      </c>
      <c r="N14" s="84"/>
      <c r="O14" s="84"/>
      <c r="P14" s="54"/>
      <c r="Q14" s="54"/>
    </row>
    <row r="15" spans="1:17" s="53" customFormat="1" ht="20.25" thickBot="1" x14ac:dyDescent="0.4">
      <c r="A15" s="269"/>
      <c r="B15" s="270"/>
      <c r="C15" s="344"/>
      <c r="D15" s="240"/>
      <c r="E15" s="95" t="s">
        <v>12</v>
      </c>
      <c r="F15" s="95" t="s">
        <v>13</v>
      </c>
      <c r="G15" s="254"/>
      <c r="H15" s="240"/>
      <c r="I15" s="240"/>
      <c r="J15" s="240"/>
      <c r="K15" s="240"/>
      <c r="L15" s="345"/>
      <c r="M15" s="276"/>
      <c r="N15" s="84"/>
      <c r="O15" s="84"/>
      <c r="P15" s="54"/>
      <c r="Q15" s="54"/>
    </row>
    <row r="16" spans="1:17" s="53" customFormat="1" ht="22.5" customHeight="1" x14ac:dyDescent="0.4">
      <c r="A16" s="390" t="s">
        <v>65</v>
      </c>
      <c r="B16" s="391"/>
      <c r="C16" s="352"/>
      <c r="D16" s="72"/>
      <c r="E16" s="72"/>
      <c r="F16" s="72"/>
      <c r="G16" s="73"/>
      <c r="H16" s="65">
        <f>IF(AND(D17&gt;=1,OR(E17&gt;=1,F17&gt;=1)),(O16+O17)-100000,0)</f>
        <v>0</v>
      </c>
      <c r="I16" s="277">
        <f>D17+E17+F17+G17+H17-H16</f>
        <v>0</v>
      </c>
      <c r="J16" s="250" t="str">
        <f>IF(AND(I16&gt;0,I16&lt;=24000000),430000,
IF(AND(I16&gt;24000000,I16&lt;=24500000),290000,
IF(AND(I16&gt;24500000,I16&lt;=25000000),150000,
IF(I16&gt;25000000,0,""))))</f>
        <v/>
      </c>
      <c r="K16" s="250">
        <f>IFERROR(IF(I16&lt;=0,0,IF(I16-J16&lt;=0,0,I16-J16)),"")</f>
        <v>0</v>
      </c>
      <c r="L16" s="252" t="str">
        <f>IF(AND(C16&lt;65,C16&gt;=40,1),1,"")</f>
        <v/>
      </c>
      <c r="M16" s="282"/>
      <c r="N16" s="280"/>
      <c r="O16" s="139">
        <f>IF(D17&gt;=100000,100000,D17)</f>
        <v>0</v>
      </c>
      <c r="P16" s="54"/>
      <c r="Q16" s="54"/>
    </row>
    <row r="17" spans="1:17" s="53" customFormat="1" ht="22.5" customHeight="1" x14ac:dyDescent="0.35">
      <c r="A17" s="271"/>
      <c r="B17" s="272"/>
      <c r="C17" s="353"/>
      <c r="D17" s="58">
        <f>IF(M16="有",LOOKUP(D16,所得計算R7!A3:'所得計算R7'!A14,所得計算R7!B3:'所得計算R7'!B14)*30/100,LOOKUP(D16,所得計算R7!A3:'所得計算R7'!A14,所得計算R7!B3:'所得計算R7'!B14))</f>
        <v>0</v>
      </c>
      <c r="E17" s="58">
        <f>LOOKUP(E16,所得計算R7!A20:A25,所得計算R7!B20:B25)</f>
        <v>0</v>
      </c>
      <c r="F17" s="58">
        <f>LOOKUP(F16,所得計算R7!A28:A33,所得計算R7!B28:B33)</f>
        <v>0</v>
      </c>
      <c r="G17" s="59"/>
      <c r="H17" s="59"/>
      <c r="I17" s="278"/>
      <c r="J17" s="251"/>
      <c r="K17" s="251"/>
      <c r="L17" s="242"/>
      <c r="M17" s="283"/>
      <c r="N17" s="280"/>
      <c r="O17" s="140">
        <f>IF(OR(E17&gt;=100000,F17&gt;=100000),100000,E17+F17)</f>
        <v>0</v>
      </c>
      <c r="P17" s="54"/>
      <c r="Q17" s="54"/>
    </row>
    <row r="18" spans="1:17" s="53" customFormat="1" ht="22.5" customHeight="1" x14ac:dyDescent="0.4">
      <c r="A18" s="271" t="s">
        <v>66</v>
      </c>
      <c r="B18" s="272"/>
      <c r="C18" s="348"/>
      <c r="D18" s="59"/>
      <c r="E18" s="59"/>
      <c r="F18" s="59"/>
      <c r="G18" s="60"/>
      <c r="H18" s="107">
        <f>IF(AND(D19&gt;=1,OR(E19&gt;=1,F19&gt;=1)),(O18+O19)-100000,0)</f>
        <v>0</v>
      </c>
      <c r="I18" s="277">
        <f>D19+E19+F19+G19+H19-H18</f>
        <v>0</v>
      </c>
      <c r="J18" s="250" t="str">
        <f>IF(AND(I18&gt;0,I18&lt;=24000000),430000,
IF(AND(I18&gt;24000000,I18&lt;=24500000),290000,
IF(AND(I18&gt;24500000,I18&lt;=25000000),150000,
IF(I18&gt;25000000,0,""))))</f>
        <v/>
      </c>
      <c r="K18" s="279">
        <f t="shared" ref="K18" si="0">IFERROR(IF(I18&lt;=0,0,IF(I18-J18&lt;=0,0,I18-J18)),"")</f>
        <v>0</v>
      </c>
      <c r="L18" s="241" t="str">
        <f t="shared" ref="L18" si="1">IF(AND(C18&lt;65,C18&gt;=40,1),1,"")</f>
        <v/>
      </c>
      <c r="M18" s="284"/>
      <c r="N18" s="281"/>
      <c r="O18" s="139">
        <f>IF(D19&gt;=100000,100000,D19)</f>
        <v>0</v>
      </c>
      <c r="P18" s="54"/>
      <c r="Q18" s="54"/>
    </row>
    <row r="19" spans="1:17" s="53" customFormat="1" ht="22.5" customHeight="1" x14ac:dyDescent="0.35">
      <c r="A19" s="271"/>
      <c r="B19" s="272"/>
      <c r="C19" s="353"/>
      <c r="D19" s="58">
        <f>IF(M18="有",LOOKUP(D18,所得計算R7!C3:'所得計算R7'!C14,所得計算R7!D3:'所得計算R7'!D14)*30/100,LOOKUP(D18,所得計算R7!C3:C14,所得計算R7!D3:D14))</f>
        <v>0</v>
      </c>
      <c r="E19" s="58">
        <f>LOOKUP(E18,所得計算R7!C20:C25,所得計算R7!D20:D25)</f>
        <v>0</v>
      </c>
      <c r="F19" s="58">
        <f>LOOKUP(F18,所得計算R7!C28:C33,所得計算R7!D28:D33)</f>
        <v>0</v>
      </c>
      <c r="G19" s="59"/>
      <c r="H19" s="59"/>
      <c r="I19" s="278"/>
      <c r="J19" s="251"/>
      <c r="K19" s="251"/>
      <c r="L19" s="242"/>
      <c r="M19" s="283"/>
      <c r="N19" s="281"/>
      <c r="O19" s="140">
        <f>IF(OR(E19&gt;=100000,F19&gt;=100000),100000,E19+F19)</f>
        <v>0</v>
      </c>
      <c r="P19" s="54"/>
      <c r="Q19" s="54"/>
    </row>
    <row r="20" spans="1:17" s="53" customFormat="1" ht="22.5" customHeight="1" x14ac:dyDescent="0.4">
      <c r="A20" s="271" t="s">
        <v>67</v>
      </c>
      <c r="B20" s="272"/>
      <c r="C20" s="348"/>
      <c r="D20" s="59"/>
      <c r="E20" s="59"/>
      <c r="F20" s="59"/>
      <c r="G20" s="60"/>
      <c r="H20" s="107">
        <f>IF(AND(D21&gt;=1,OR(E21&gt;=1,F21&gt;=1)),(O20+O21)-100000,0)</f>
        <v>0</v>
      </c>
      <c r="I20" s="277">
        <f>D21+E21+F21+G21+H21-H20</f>
        <v>0</v>
      </c>
      <c r="J20" s="250" t="str">
        <f t="shared" ref="J20" si="2">IF(AND(I20&gt;0,I20&lt;=24000000),430000,
IF(AND(I20&gt;24000000,I20&lt;=24500000),290000,
IF(AND(I20&gt;24500000,I20&lt;=25000000),150000,
IF(I20&gt;25000000,0,""))))</f>
        <v/>
      </c>
      <c r="K20" s="279">
        <f t="shared" ref="K20" si="3">IFERROR(IF(I20&lt;=0,0,IF(I20-J20&lt;=0,0,I20-J20)),"")</f>
        <v>0</v>
      </c>
      <c r="L20" s="241" t="str">
        <f t="shared" ref="L20" si="4">IF(AND(C20&lt;65,C20&gt;=40,1),1,"")</f>
        <v/>
      </c>
      <c r="M20" s="284"/>
      <c r="N20" s="84"/>
      <c r="O20" s="139">
        <f>IF(D21&gt;=100000,100000,D21)</f>
        <v>0</v>
      </c>
      <c r="P20" s="54"/>
      <c r="Q20" s="54"/>
    </row>
    <row r="21" spans="1:17" s="53" customFormat="1" ht="22.5" customHeight="1" x14ac:dyDescent="0.35">
      <c r="A21" s="271"/>
      <c r="B21" s="272"/>
      <c r="C21" s="353"/>
      <c r="D21" s="58">
        <f>IF(M20="有",LOOKUP(D20,所得計算R7!E3:E13,所得計算R7!F3:F13)*30/100,LOOKUP(D20,所得計算R7!E3:E13,所得計算R7!F3:F13))</f>
        <v>0</v>
      </c>
      <c r="E21" s="58">
        <f>LOOKUP(E20,所得計算R7!E20:E25,所得計算R7!F20:F25)</f>
        <v>0</v>
      </c>
      <c r="F21" s="58">
        <f>LOOKUP(F20,所得計算R7!E28:E33,所得計算R7!F28:F33)</f>
        <v>0</v>
      </c>
      <c r="G21" s="59"/>
      <c r="H21" s="59"/>
      <c r="I21" s="278"/>
      <c r="J21" s="251"/>
      <c r="K21" s="251"/>
      <c r="L21" s="242"/>
      <c r="M21" s="283"/>
      <c r="N21" s="84"/>
      <c r="O21" s="140">
        <f>IF(OR(E21&gt;=100000,F21&gt;=100000),100000,E21+F21)</f>
        <v>0</v>
      </c>
      <c r="P21" s="54"/>
      <c r="Q21" s="54"/>
    </row>
    <row r="22" spans="1:17" s="53" customFormat="1" ht="22.5" customHeight="1" x14ac:dyDescent="0.4">
      <c r="A22" s="271" t="s">
        <v>68</v>
      </c>
      <c r="B22" s="272"/>
      <c r="C22" s="348"/>
      <c r="D22" s="59"/>
      <c r="E22" s="59"/>
      <c r="F22" s="59"/>
      <c r="G22" s="60"/>
      <c r="H22" s="107">
        <f>IF(AND(D23&gt;=1,OR(E23&gt;=1,F23&gt;=1)),(O22+O23)-100000,0)</f>
        <v>0</v>
      </c>
      <c r="I22" s="346">
        <f>D23+E23+F23+G23+H23-H22</f>
        <v>0</v>
      </c>
      <c r="J22" s="279" t="str">
        <f t="shared" ref="J22" si="5">IF(AND(I22&gt;0,I22&lt;=24000000),430000,
IF(AND(I22&gt;24000000,I22&lt;=24500000),290000,
IF(AND(I22&gt;24500000,I22&lt;=25000000),150000,
IF(I22&gt;25000000,0,""))))</f>
        <v/>
      </c>
      <c r="K22" s="279">
        <f t="shared" ref="K22" si="6">IFERROR(IF(I22&lt;=0,0,IF(I22-J22&lt;=0,0,I22-J22)),"")</f>
        <v>0</v>
      </c>
      <c r="L22" s="241" t="str">
        <f t="shared" ref="L22" si="7">IF(AND(C22&lt;65,C22&gt;=40,1),1,"")</f>
        <v/>
      </c>
      <c r="M22" s="284"/>
      <c r="N22" s="84"/>
      <c r="O22" s="139">
        <f>IF(D23&gt;=100000,100000,D23)</f>
        <v>0</v>
      </c>
      <c r="P22" s="54"/>
      <c r="Q22" s="54"/>
    </row>
    <row r="23" spans="1:17" s="53" customFormat="1" ht="22.5" customHeight="1" thickBot="1" x14ac:dyDescent="0.4">
      <c r="A23" s="273"/>
      <c r="B23" s="274"/>
      <c r="C23" s="349"/>
      <c r="D23" s="70">
        <f>IF(M22="有",LOOKUP(D22,所得計算R7!G3:G13,所得計算R7!H3:H13)*30/100,LOOKUP(D22,所得計算R7!G3:G13,所得計算R7!H3:H13))</f>
        <v>0</v>
      </c>
      <c r="E23" s="70">
        <f>LOOKUP(E22,所得計算R7!G20:G25,所得計算R7!H20:H25)</f>
        <v>0</v>
      </c>
      <c r="F23" s="70">
        <f>LOOKUP(F22,所得計算R7!G28:G33,所得計算R7!H28:H33)</f>
        <v>0</v>
      </c>
      <c r="G23" s="71"/>
      <c r="H23" s="71"/>
      <c r="I23" s="347"/>
      <c r="J23" s="287"/>
      <c r="K23" s="287"/>
      <c r="L23" s="351"/>
      <c r="M23" s="350"/>
      <c r="N23" s="84"/>
      <c r="O23" s="140">
        <f>IF(OR(E23&gt;=100000,F23&gt;=100000),100000,E23+F23)</f>
        <v>0</v>
      </c>
      <c r="P23" s="54"/>
      <c r="Q23" s="54"/>
    </row>
    <row r="24" spans="1:17" s="53" customFormat="1" ht="23.25" customHeight="1" x14ac:dyDescent="0.35">
      <c r="A24" s="84"/>
      <c r="B24" s="84"/>
      <c r="C24" s="86"/>
      <c r="D24" s="84"/>
      <c r="E24" s="84"/>
      <c r="F24" s="84"/>
      <c r="G24" s="84"/>
      <c r="H24" s="84"/>
      <c r="I24" s="84"/>
      <c r="J24" s="84"/>
      <c r="K24" s="87"/>
      <c r="L24" s="88"/>
      <c r="M24" s="88"/>
      <c r="N24" s="84"/>
      <c r="O24" s="84"/>
      <c r="P24" s="54"/>
      <c r="Q24" s="54"/>
    </row>
    <row r="25" spans="1:17" s="53" customFormat="1" ht="24" x14ac:dyDescent="0.35">
      <c r="A25" s="99">
        <v>3</v>
      </c>
      <c r="B25" s="261" t="s">
        <v>108</v>
      </c>
      <c r="C25" s="262"/>
      <c r="D25" s="263"/>
      <c r="E25" s="89"/>
      <c r="F25" s="89"/>
      <c r="G25" s="89"/>
      <c r="H25" s="89"/>
      <c r="I25" s="89"/>
      <c r="J25" s="89"/>
      <c r="K25" s="89"/>
      <c r="L25" s="84"/>
      <c r="M25" s="84"/>
      <c r="N25" s="84"/>
      <c r="O25" s="84"/>
      <c r="P25" s="54"/>
      <c r="Q25" s="54"/>
    </row>
    <row r="26" spans="1:17" s="53" customFormat="1" ht="21.75" customHeight="1" x14ac:dyDescent="0.35">
      <c r="A26" s="89"/>
      <c r="B26" s="264" t="s">
        <v>109</v>
      </c>
      <c r="C26" s="264"/>
      <c r="D26" s="264"/>
      <c r="E26" s="264"/>
      <c r="F26" s="264"/>
      <c r="G26" s="264"/>
      <c r="H26" s="264"/>
      <c r="I26" s="264"/>
      <c r="J26" s="89"/>
      <c r="K26" s="89"/>
      <c r="L26" s="84"/>
      <c r="M26" s="84"/>
      <c r="N26" s="84"/>
      <c r="O26" s="79"/>
      <c r="P26" s="54"/>
      <c r="Q26" s="54"/>
    </row>
    <row r="27" spans="1:17" s="53" customFormat="1" ht="21.75" customHeight="1" thickBot="1" x14ac:dyDescent="0.4">
      <c r="A27" s="89"/>
      <c r="B27" s="264"/>
      <c r="C27" s="264"/>
      <c r="D27" s="264"/>
      <c r="E27" s="264"/>
      <c r="F27" s="264"/>
      <c r="G27" s="264"/>
      <c r="H27" s="264"/>
      <c r="I27" s="264"/>
      <c r="J27" s="89"/>
      <c r="K27" s="89"/>
      <c r="L27" s="84"/>
      <c r="M27" s="84"/>
      <c r="N27" s="84"/>
      <c r="O27" s="79"/>
      <c r="P27" s="54"/>
    </row>
    <row r="28" spans="1:17" s="55" customFormat="1" ht="36.75" customHeight="1" thickBot="1" x14ac:dyDescent="0.4">
      <c r="A28" s="86"/>
      <c r="B28" s="86"/>
      <c r="C28" s="323" t="s">
        <v>110</v>
      </c>
      <c r="D28" s="109" t="s">
        <v>82</v>
      </c>
      <c r="E28" s="110" t="s">
        <v>83</v>
      </c>
      <c r="F28" s="111" t="s">
        <v>114</v>
      </c>
      <c r="G28" s="110" t="s">
        <v>112</v>
      </c>
      <c r="H28" s="111" t="s">
        <v>113</v>
      </c>
      <c r="I28" s="110" t="s">
        <v>84</v>
      </c>
      <c r="J28" s="112" t="s">
        <v>115</v>
      </c>
      <c r="K28" s="113" t="s">
        <v>111</v>
      </c>
      <c r="L28" s="84"/>
      <c r="M28" s="322" t="s">
        <v>116</v>
      </c>
      <c r="N28" s="322"/>
      <c r="O28" s="86"/>
    </row>
    <row r="29" spans="1:17" s="53" customFormat="1" ht="36.75" customHeight="1" thickBot="1" x14ac:dyDescent="0.4">
      <c r="A29" s="84"/>
      <c r="B29" s="84"/>
      <c r="C29" s="324"/>
      <c r="D29" s="104"/>
      <c r="E29" s="103">
        <f>LOOKUP(D29,所得計算R7!I3:'所得計算R7'!I14,所得計算R7!J3:'所得計算R7'!J14)</f>
        <v>0</v>
      </c>
      <c r="F29" s="104"/>
      <c r="G29" s="103">
        <f>LOOKUP(F29,所得計算R7!I20:I25,所得計算R7!J20:J25)</f>
        <v>0</v>
      </c>
      <c r="H29" s="104"/>
      <c r="I29" s="103">
        <f>LOOKUP(H29,所得計算R7!I28:I33,所得計算R7!J28:J33)</f>
        <v>0</v>
      </c>
      <c r="J29" s="105"/>
      <c r="K29" s="208">
        <f>E29+G29+I29+J29</f>
        <v>0</v>
      </c>
      <c r="L29" s="84"/>
      <c r="M29" s="322"/>
      <c r="N29" s="322"/>
      <c r="O29" s="84"/>
      <c r="Q29" s="54"/>
    </row>
    <row r="30" spans="1:17" s="53" customFormat="1" ht="12.75" customHeight="1" x14ac:dyDescent="0.4">
      <c r="A30" s="84"/>
      <c r="B30" s="84"/>
      <c r="C30" s="84"/>
      <c r="D30" s="90"/>
      <c r="E30" s="91"/>
      <c r="F30" s="90"/>
      <c r="G30" s="91"/>
      <c r="H30" s="90"/>
      <c r="I30" s="91"/>
      <c r="J30" s="92"/>
      <c r="K30" s="84"/>
      <c r="L30" s="93"/>
      <c r="M30" s="94"/>
      <c r="N30" s="84"/>
      <c r="O30" s="84"/>
      <c r="P30" s="54"/>
    </row>
    <row r="31" spans="1:17" s="53" customFormat="1" ht="7.5" customHeight="1" thickBot="1" x14ac:dyDescent="0.4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41"/>
      <c r="P31" s="54"/>
    </row>
    <row r="32" spans="1:17" ht="33" customHeight="1" thickBot="1" x14ac:dyDescent="0.45">
      <c r="A32" s="128"/>
      <c r="B32" s="340" t="s">
        <v>146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2"/>
      <c r="N32" s="127"/>
      <c r="O32" s="141"/>
    </row>
    <row r="33" spans="1:16" s="53" customFormat="1" ht="33" customHeight="1" thickBot="1" x14ac:dyDescent="0.4">
      <c r="A33" s="317"/>
      <c r="B33" s="317"/>
      <c r="C33" s="317"/>
      <c r="D33" s="129"/>
      <c r="E33" s="130"/>
      <c r="F33" s="129"/>
      <c r="G33" s="129"/>
      <c r="H33" s="130"/>
      <c r="I33" s="130"/>
      <c r="J33" s="130"/>
      <c r="K33" s="129"/>
      <c r="L33" s="130"/>
      <c r="M33" s="130"/>
      <c r="N33" s="130"/>
      <c r="O33" s="141"/>
      <c r="P33" s="54"/>
    </row>
    <row r="34" spans="1:16" s="53" customFormat="1" ht="33" customHeight="1" x14ac:dyDescent="0.35">
      <c r="A34" s="130"/>
      <c r="B34" s="329" t="s">
        <v>74</v>
      </c>
      <c r="C34" s="330"/>
      <c r="D34" s="318" t="s">
        <v>79</v>
      </c>
      <c r="E34" s="319"/>
      <c r="F34" s="320"/>
      <c r="G34" s="318" t="s">
        <v>80</v>
      </c>
      <c r="H34" s="319"/>
      <c r="I34" s="320"/>
      <c r="J34" s="318" t="s">
        <v>81</v>
      </c>
      <c r="K34" s="321"/>
      <c r="L34" s="325" t="s">
        <v>88</v>
      </c>
      <c r="M34" s="326"/>
      <c r="N34" s="130"/>
      <c r="O34" s="141"/>
      <c r="P34" s="54"/>
    </row>
    <row r="35" spans="1:16" s="53" customFormat="1" ht="33" customHeight="1" x14ac:dyDescent="0.35">
      <c r="A35" s="131"/>
      <c r="B35" s="331"/>
      <c r="C35" s="332"/>
      <c r="D35" s="205" t="s">
        <v>62</v>
      </c>
      <c r="E35" s="201" t="s">
        <v>69</v>
      </c>
      <c r="F35" s="201" t="s">
        <v>70</v>
      </c>
      <c r="G35" s="201" t="s">
        <v>71</v>
      </c>
      <c r="H35" s="201" t="s">
        <v>72</v>
      </c>
      <c r="I35" s="201" t="s">
        <v>73</v>
      </c>
      <c r="J35" s="201" t="s">
        <v>77</v>
      </c>
      <c r="K35" s="202" t="s">
        <v>72</v>
      </c>
      <c r="L35" s="327"/>
      <c r="M35" s="328"/>
      <c r="N35" s="218" t="s">
        <v>86</v>
      </c>
      <c r="O35" s="141"/>
      <c r="P35" s="54"/>
    </row>
    <row r="36" spans="1:16" s="53" customFormat="1" ht="21.75" customHeight="1" x14ac:dyDescent="0.35">
      <c r="A36" s="131"/>
      <c r="B36" s="331"/>
      <c r="C36" s="332"/>
      <c r="D36" s="335">
        <f>IFERROR(K16+K18+K20+K22,"")</f>
        <v>0</v>
      </c>
      <c r="E36" s="337">
        <f>所得計算R7!B45</f>
        <v>6.6600000000000006E-2</v>
      </c>
      <c r="F36" s="335">
        <f>IF(D36="",0,ROUNDDOWN(D36*E36,0))</f>
        <v>0</v>
      </c>
      <c r="G36" s="214">
        <f>I8-G37</f>
        <v>0</v>
      </c>
      <c r="H36" s="215">
        <f>所得計算R7!C45</f>
        <v>17400</v>
      </c>
      <c r="I36" s="335">
        <f>(G36*H36)+(G37*H37)</f>
        <v>0</v>
      </c>
      <c r="J36" s="382" t="s">
        <v>78</v>
      </c>
      <c r="K36" s="380">
        <f>所得計算R7!D45</f>
        <v>24400</v>
      </c>
      <c r="L36" s="235">
        <f>IF((F36+I36+K36)&gt;所得計算R7!E45,所得計算R7!E45,(F36+I36+K36))</f>
        <v>24400</v>
      </c>
      <c r="M36" s="236"/>
      <c r="N36" s="233">
        <f>所得計算R7!E45</f>
        <v>660000</v>
      </c>
      <c r="O36" s="141"/>
      <c r="P36" s="54"/>
    </row>
    <row r="37" spans="1:16" s="53" customFormat="1" ht="21.75" customHeight="1" thickBot="1" x14ac:dyDescent="0.4">
      <c r="A37" s="211"/>
      <c r="B37" s="333"/>
      <c r="C37" s="334"/>
      <c r="D37" s="336"/>
      <c r="E37" s="338"/>
      <c r="F37" s="336"/>
      <c r="G37" s="216">
        <f>COUNTIF(C16:C23,"&lt;6")</f>
        <v>0</v>
      </c>
      <c r="H37" s="217">
        <f>所得計算R7!C45*G37/2</f>
        <v>0</v>
      </c>
      <c r="I37" s="336"/>
      <c r="J37" s="383"/>
      <c r="K37" s="381"/>
      <c r="L37" s="237"/>
      <c r="M37" s="238"/>
      <c r="N37" s="234"/>
      <c r="O37" s="141"/>
      <c r="P37" s="54"/>
    </row>
    <row r="38" spans="1:16" s="53" customFormat="1" ht="15" customHeight="1" thickBot="1" x14ac:dyDescent="0.4">
      <c r="A38" s="317"/>
      <c r="B38" s="317"/>
      <c r="C38" s="317"/>
      <c r="D38" s="129"/>
      <c r="E38" s="130"/>
      <c r="F38" s="129"/>
      <c r="G38" s="129"/>
      <c r="H38" s="130"/>
      <c r="I38" s="130"/>
      <c r="J38" s="130"/>
      <c r="K38" s="129"/>
      <c r="L38" s="130"/>
      <c r="M38" s="130"/>
      <c r="N38" s="130"/>
      <c r="O38" s="141"/>
      <c r="P38" s="54"/>
    </row>
    <row r="39" spans="1:16" s="53" customFormat="1" ht="33" customHeight="1" x14ac:dyDescent="0.35">
      <c r="A39" s="131"/>
      <c r="B39" s="384" t="s">
        <v>75</v>
      </c>
      <c r="C39" s="385"/>
      <c r="D39" s="294" t="s">
        <v>79</v>
      </c>
      <c r="E39" s="295"/>
      <c r="F39" s="296"/>
      <c r="G39" s="294" t="s">
        <v>80</v>
      </c>
      <c r="H39" s="295"/>
      <c r="I39" s="296"/>
      <c r="J39" s="247"/>
      <c r="K39" s="247"/>
      <c r="L39" s="313" t="s">
        <v>89</v>
      </c>
      <c r="M39" s="314"/>
      <c r="N39" s="130"/>
      <c r="O39" s="141"/>
      <c r="P39" s="54"/>
    </row>
    <row r="40" spans="1:16" s="53" customFormat="1" ht="33" customHeight="1" x14ac:dyDescent="0.35">
      <c r="A40" s="131"/>
      <c r="B40" s="386"/>
      <c r="C40" s="387"/>
      <c r="D40" s="206" t="s">
        <v>62</v>
      </c>
      <c r="E40" s="203" t="s">
        <v>69</v>
      </c>
      <c r="F40" s="203" t="s">
        <v>70</v>
      </c>
      <c r="G40" s="203" t="s">
        <v>71</v>
      </c>
      <c r="H40" s="203" t="s">
        <v>72</v>
      </c>
      <c r="I40" s="203" t="s">
        <v>73</v>
      </c>
      <c r="J40" s="248"/>
      <c r="K40" s="248"/>
      <c r="L40" s="315"/>
      <c r="M40" s="316"/>
      <c r="N40" s="219" t="s">
        <v>86</v>
      </c>
      <c r="O40" s="141"/>
      <c r="P40" s="54"/>
    </row>
    <row r="41" spans="1:16" s="53" customFormat="1" ht="21.75" customHeight="1" x14ac:dyDescent="0.35">
      <c r="A41" s="131"/>
      <c r="B41" s="386"/>
      <c r="C41" s="387"/>
      <c r="D41" s="245">
        <f>IFERROR(K16+K18+K20+K22,"")</f>
        <v>0</v>
      </c>
      <c r="E41" s="255">
        <f>所得計算R7!F45</f>
        <v>2.5999999999999999E-2</v>
      </c>
      <c r="F41" s="245">
        <f>IF(D41="",0,ROUNDDOWN(D41*E41,0))</f>
        <v>0</v>
      </c>
      <c r="G41" s="214">
        <f>I8-G42</f>
        <v>0</v>
      </c>
      <c r="H41" s="215">
        <f>所得計算R7!G45</f>
        <v>12000</v>
      </c>
      <c r="I41" s="245">
        <f>(G41*H41)+(G42*H42)</f>
        <v>0</v>
      </c>
      <c r="J41" s="248"/>
      <c r="K41" s="248"/>
      <c r="L41" s="243">
        <f>IF((F41+I41)&gt;所得計算R7!H45,所得計算R7!H45,(F41+I41))</f>
        <v>0</v>
      </c>
      <c r="M41" s="236"/>
      <c r="N41" s="233">
        <f>所得計算R7!H45</f>
        <v>260000</v>
      </c>
      <c r="O41" s="141"/>
      <c r="P41" s="54"/>
    </row>
    <row r="42" spans="1:16" s="53" customFormat="1" ht="21.75" customHeight="1" thickBot="1" x14ac:dyDescent="0.4">
      <c r="A42" s="211"/>
      <c r="B42" s="388"/>
      <c r="C42" s="389"/>
      <c r="D42" s="246"/>
      <c r="E42" s="256"/>
      <c r="F42" s="246"/>
      <c r="G42" s="216">
        <f>COUNTIF(C16:C23,"&lt;6")</f>
        <v>0</v>
      </c>
      <c r="H42" s="217">
        <f>所得計算R7!G45*G37/2</f>
        <v>0</v>
      </c>
      <c r="I42" s="246"/>
      <c r="J42" s="249"/>
      <c r="K42" s="249"/>
      <c r="L42" s="244"/>
      <c r="M42" s="238"/>
      <c r="N42" s="234"/>
      <c r="O42" s="141"/>
      <c r="P42" s="54"/>
    </row>
    <row r="43" spans="1:16" s="53" customFormat="1" ht="15" customHeight="1" thickBot="1" x14ac:dyDescent="0.4">
      <c r="A43" s="317"/>
      <c r="B43" s="317"/>
      <c r="C43" s="317"/>
      <c r="D43" s="129"/>
      <c r="E43" s="130"/>
      <c r="F43" s="129"/>
      <c r="G43" s="129"/>
      <c r="H43" s="130"/>
      <c r="I43" s="130"/>
      <c r="J43" s="130"/>
      <c r="K43" s="129"/>
      <c r="L43" s="130"/>
      <c r="M43" s="130"/>
      <c r="N43" s="130"/>
      <c r="O43" s="141"/>
      <c r="P43" s="54"/>
    </row>
    <row r="44" spans="1:16" s="53" customFormat="1" ht="33" customHeight="1" x14ac:dyDescent="0.35">
      <c r="A44" s="131"/>
      <c r="B44" s="307" t="s">
        <v>76</v>
      </c>
      <c r="C44" s="308"/>
      <c r="D44" s="377" t="s">
        <v>79</v>
      </c>
      <c r="E44" s="378"/>
      <c r="F44" s="379"/>
      <c r="G44" s="377" t="s">
        <v>80</v>
      </c>
      <c r="H44" s="378"/>
      <c r="I44" s="379"/>
      <c r="J44" s="288"/>
      <c r="K44" s="289"/>
      <c r="L44" s="369" t="s">
        <v>90</v>
      </c>
      <c r="M44" s="370"/>
      <c r="N44" s="131"/>
      <c r="O44" s="141"/>
      <c r="P44" s="54"/>
    </row>
    <row r="45" spans="1:16" s="53" customFormat="1" ht="33" customHeight="1" x14ac:dyDescent="0.35">
      <c r="A45" s="131"/>
      <c r="B45" s="309"/>
      <c r="C45" s="310"/>
      <c r="D45" s="207" t="s">
        <v>62</v>
      </c>
      <c r="E45" s="204" t="s">
        <v>69</v>
      </c>
      <c r="F45" s="204" t="s">
        <v>70</v>
      </c>
      <c r="G45" s="204" t="s">
        <v>71</v>
      </c>
      <c r="H45" s="204" t="s">
        <v>72</v>
      </c>
      <c r="I45" s="204" t="s">
        <v>73</v>
      </c>
      <c r="J45" s="290"/>
      <c r="K45" s="291"/>
      <c r="L45" s="371"/>
      <c r="M45" s="372"/>
      <c r="N45" s="118" t="s">
        <v>86</v>
      </c>
      <c r="O45" s="141"/>
      <c r="P45" s="54"/>
    </row>
    <row r="46" spans="1:16" s="53" customFormat="1" ht="45" customHeight="1" thickBot="1" x14ac:dyDescent="0.4">
      <c r="A46" s="131"/>
      <c r="B46" s="311"/>
      <c r="C46" s="312"/>
      <c r="D46" s="114">
        <f>IFERROR(IF(L16=1,K16,0)+IF(L18=1,K18,0)+IF(L20=1,K20,0)+IF(L22=1,K22,0),"")</f>
        <v>0</v>
      </c>
      <c r="E46" s="115">
        <f>所得計算R7!I45</f>
        <v>1.7999999999999999E-2</v>
      </c>
      <c r="F46" s="114">
        <f>IF(D46="",0,ROUNDDOWN(D46*E46,0))</f>
        <v>0</v>
      </c>
      <c r="G46" s="116">
        <f>K8</f>
        <v>0</v>
      </c>
      <c r="H46" s="117">
        <f>所得計算R7!J45</f>
        <v>16000</v>
      </c>
      <c r="I46" s="114">
        <f>G46*H46</f>
        <v>0</v>
      </c>
      <c r="J46" s="292"/>
      <c r="K46" s="293"/>
      <c r="L46" s="373">
        <f>IF((F46+I46)&gt;所得計算R7!K45,所得計算R7!K45,(F46+I46))</f>
        <v>0</v>
      </c>
      <c r="M46" s="374"/>
      <c r="N46" s="62">
        <f>所得計算R7!K45</f>
        <v>170000</v>
      </c>
      <c r="O46" s="141"/>
      <c r="P46" s="54"/>
    </row>
    <row r="47" spans="1:16" s="53" customFormat="1" ht="18" customHeight="1" thickBot="1" x14ac:dyDescent="0.4">
      <c r="A47" s="151"/>
      <c r="B47" s="151"/>
      <c r="C47" s="151"/>
      <c r="D47" s="129"/>
      <c r="E47" s="130"/>
      <c r="F47" s="129"/>
      <c r="G47" s="152"/>
      <c r="H47" s="130"/>
      <c r="I47" s="130"/>
      <c r="J47" s="130"/>
      <c r="K47" s="129"/>
      <c r="L47" s="130"/>
      <c r="M47" s="130"/>
      <c r="N47" s="130"/>
      <c r="O47" s="141"/>
      <c r="P47" s="54"/>
    </row>
    <row r="48" spans="1:16" s="53" customFormat="1" ht="32.25" customHeight="1" x14ac:dyDescent="0.35">
      <c r="A48" s="131"/>
      <c r="B48" s="359" t="s">
        <v>87</v>
      </c>
      <c r="C48" s="360"/>
      <c r="D48" s="375" t="s">
        <v>61</v>
      </c>
      <c r="E48" s="376"/>
      <c r="F48" s="120" t="s">
        <v>43</v>
      </c>
      <c r="G48" s="143">
        <f>所得計算R7!N56</f>
        <v>0</v>
      </c>
      <c r="H48" s="144"/>
      <c r="I48" s="131"/>
      <c r="J48" s="299" t="s">
        <v>91</v>
      </c>
      <c r="K48" s="300"/>
      <c r="L48" s="355">
        <f>IF(所得計算R7!L45&lt;ROUNDDOWN(L36+L46+L41,-2),所得計算R7!L45,ROUNDDOWN(L36+L46+L41,-2))</f>
        <v>24400</v>
      </c>
      <c r="M48" s="356"/>
      <c r="N48" s="119" t="s">
        <v>86</v>
      </c>
      <c r="O48" s="141"/>
      <c r="P48" s="54"/>
    </row>
    <row r="49" spans="1:16" s="53" customFormat="1" ht="32.25" customHeight="1" thickBot="1" x14ac:dyDescent="0.4">
      <c r="A49" s="131"/>
      <c r="B49" s="145"/>
      <c r="C49" s="145"/>
      <c r="D49" s="121" t="s">
        <v>56</v>
      </c>
      <c r="E49" s="63">
        <f>IF(D17&gt;=1,"1",0)+IF(D19&gt;=1,"1",0)+IF(D21&gt;=1,"1",0)+IF(D23&gt;=1,"1",0)</f>
        <v>0</v>
      </c>
      <c r="F49" s="122" t="s">
        <v>42</v>
      </c>
      <c r="G49" s="64">
        <f>所得計算R7!O52</f>
        <v>430000</v>
      </c>
      <c r="H49" s="61" t="s">
        <v>85</v>
      </c>
      <c r="I49" s="131"/>
      <c r="J49" s="301"/>
      <c r="K49" s="302"/>
      <c r="L49" s="357"/>
      <c r="M49" s="358"/>
      <c r="N49" s="62">
        <f>所得計算R7!L45</f>
        <v>1090000</v>
      </c>
      <c r="O49" s="141"/>
      <c r="P49" s="54"/>
    </row>
    <row r="50" spans="1:16" s="53" customFormat="1" ht="32.25" customHeight="1" x14ac:dyDescent="0.35">
      <c r="A50" s="131"/>
      <c r="B50" s="142"/>
      <c r="C50" s="142"/>
      <c r="D50" s="123" t="s">
        <v>60</v>
      </c>
      <c r="E50" s="63">
        <f>IF(E17&gt;=1,IF(D17&lt;=0,1,0),0)+IF(E19&gt;=1,IF(D19&lt;=0,1,0),0)+IF(E21&gt;=1,IF(D21&lt;=0,1,0),0)+IF(E23&gt;=1,IF(D23&lt;=0,1,0),0)</f>
        <v>0</v>
      </c>
      <c r="F50" s="124" t="s">
        <v>51</v>
      </c>
      <c r="G50" s="125">
        <f>所得計算R7!O54</f>
        <v>430000</v>
      </c>
      <c r="H50" s="61" t="s">
        <v>85</v>
      </c>
      <c r="I50" s="131"/>
      <c r="J50" s="220" t="s">
        <v>94</v>
      </c>
      <c r="K50" s="222" t="str">
        <f>IFERROR(IF(所得計算R7!D56=0,"軽減なし",所得計算R7!E56),"")</f>
        <v>軽減なし</v>
      </c>
      <c r="L50" s="224" t="s">
        <v>92</v>
      </c>
      <c r="M50" s="226" t="str">
        <f>IFERROR(所得計算R7!D57+所得計算R7!D58+所得計算R7!G57+所得計算R7!J57,"0")</f>
        <v>0</v>
      </c>
      <c r="N50" s="131"/>
      <c r="O50" s="141"/>
      <c r="P50" s="54"/>
    </row>
    <row r="51" spans="1:16" s="53" customFormat="1" ht="32.25" customHeight="1" thickBot="1" x14ac:dyDescent="0.4">
      <c r="A51" s="131"/>
      <c r="B51" s="131"/>
      <c r="C51" s="131"/>
      <c r="D51" s="123" t="s">
        <v>57</v>
      </c>
      <c r="E51" s="63">
        <f>IF(F17&gt;=1,IF(D17&lt;=0,1,0),0)+IF(F19&gt;=1,IF(D19&lt;=0,1,0),0)+IF(F21&gt;=1,IF(D21&lt;=0,1,0),0)+IF(F23&gt;=1,IF(D23&lt;=0,1,0),0)</f>
        <v>0</v>
      </c>
      <c r="F51" s="126" t="s">
        <v>52</v>
      </c>
      <c r="G51" s="125">
        <f>所得計算R7!O56</f>
        <v>430000</v>
      </c>
      <c r="H51" s="61" t="s">
        <v>85</v>
      </c>
      <c r="I51" s="131"/>
      <c r="J51" s="221"/>
      <c r="K51" s="223"/>
      <c r="L51" s="225"/>
      <c r="M51" s="227"/>
      <c r="N51" s="131"/>
      <c r="O51" s="141"/>
      <c r="P51" s="54"/>
    </row>
    <row r="52" spans="1:16" s="53" customFormat="1" ht="32.25" customHeight="1" x14ac:dyDescent="0.35">
      <c r="A52" s="150"/>
      <c r="B52" s="359" t="s">
        <v>125</v>
      </c>
      <c r="C52" s="360"/>
      <c r="D52" s="123" t="s">
        <v>122</v>
      </c>
      <c r="E52" s="63">
        <f>COUNTIF(C16:C23,"&lt;6")</f>
        <v>0</v>
      </c>
      <c r="F52" s="145"/>
      <c r="G52" s="145"/>
      <c r="H52" s="145"/>
      <c r="I52" s="150"/>
      <c r="J52" s="365" t="s">
        <v>144</v>
      </c>
      <c r="K52" s="366"/>
      <c r="L52" s="361">
        <f>ROUNDDOWN(L48-(M50+M51),-2)</f>
        <v>24400</v>
      </c>
      <c r="M52" s="362"/>
      <c r="N52" s="150"/>
      <c r="O52" s="141"/>
      <c r="P52" s="54"/>
    </row>
    <row r="53" spans="1:16" s="53" customFormat="1" ht="32.25" customHeight="1" thickBot="1" x14ac:dyDescent="0.4">
      <c r="A53" s="131"/>
      <c r="B53" s="145"/>
      <c r="C53" s="145"/>
      <c r="D53" s="145"/>
      <c r="E53" s="145"/>
      <c r="F53" s="150"/>
      <c r="G53" s="150"/>
      <c r="H53" s="150"/>
      <c r="I53" s="131"/>
      <c r="J53" s="367"/>
      <c r="K53" s="368"/>
      <c r="L53" s="363"/>
      <c r="M53" s="364"/>
      <c r="N53" s="131"/>
      <c r="O53" s="141"/>
      <c r="P53" s="54"/>
    </row>
    <row r="54" spans="1:16" s="53" customFormat="1" ht="25.5" customHeight="1" x14ac:dyDescent="0.35">
      <c r="A54" s="131"/>
      <c r="B54" s="145"/>
      <c r="C54" s="145"/>
      <c r="D54" s="145"/>
      <c r="E54" s="145"/>
      <c r="F54" s="145"/>
      <c r="G54" s="145"/>
      <c r="H54" s="145"/>
      <c r="I54" s="131"/>
      <c r="J54" s="303" t="s">
        <v>95</v>
      </c>
      <c r="K54" s="303"/>
      <c r="L54" s="305">
        <f>IFERROR(L52/12,"")</f>
        <v>2033.3333333333333</v>
      </c>
      <c r="M54" s="305"/>
      <c r="N54" s="131"/>
      <c r="O54" s="141"/>
      <c r="P54" s="54"/>
    </row>
    <row r="55" spans="1:16" s="53" customFormat="1" ht="25.5" customHeight="1" x14ac:dyDescent="0.35">
      <c r="A55" s="131"/>
      <c r="B55" s="306" t="s">
        <v>136</v>
      </c>
      <c r="C55" s="306"/>
      <c r="D55" s="306"/>
      <c r="E55" s="131"/>
      <c r="F55" s="131"/>
      <c r="G55" s="131"/>
      <c r="H55" s="131"/>
      <c r="I55" s="131"/>
      <c r="J55" s="304" t="s">
        <v>93</v>
      </c>
      <c r="K55" s="304"/>
      <c r="L55" s="304"/>
      <c r="M55" s="304"/>
      <c r="N55" s="131"/>
      <c r="O55" s="141"/>
      <c r="P55" s="54"/>
    </row>
    <row r="56" spans="1:16" s="53" customFormat="1" ht="25.5" customHeight="1" thickBot="1" x14ac:dyDescent="0.4">
      <c r="A56" s="211"/>
      <c r="B56" s="210"/>
      <c r="C56" s="210"/>
      <c r="D56" s="210"/>
      <c r="E56" s="211"/>
      <c r="F56" s="211"/>
      <c r="G56" s="211"/>
      <c r="H56" s="211"/>
      <c r="I56" s="211"/>
      <c r="J56" s="209"/>
      <c r="K56" s="209"/>
      <c r="L56" s="209"/>
      <c r="M56" s="209"/>
      <c r="N56" s="211"/>
      <c r="O56" s="141"/>
      <c r="P56" s="54"/>
    </row>
    <row r="57" spans="1:16" s="53" customFormat="1" ht="25.5" customHeight="1" thickBot="1" x14ac:dyDescent="0.4">
      <c r="A57" s="131"/>
      <c r="B57" s="131"/>
      <c r="C57" s="131"/>
      <c r="D57" s="131" t="s">
        <v>96</v>
      </c>
      <c r="E57" s="133" t="s">
        <v>98</v>
      </c>
      <c r="F57" s="131" t="s">
        <v>97</v>
      </c>
      <c r="G57" s="134">
        <f>E8</f>
        <v>12</v>
      </c>
      <c r="H57" s="131" t="s">
        <v>2</v>
      </c>
      <c r="I57" s="297" t="str">
        <f>IF(C16="","",ROUNDDOWN(L52*G57/12,-2))</f>
        <v/>
      </c>
      <c r="J57" s="298"/>
      <c r="K57" s="132" t="s">
        <v>99</v>
      </c>
      <c r="L57" s="131"/>
      <c r="M57" s="131"/>
      <c r="N57" s="131"/>
      <c r="O57" s="141"/>
      <c r="P57" s="54"/>
    </row>
    <row r="58" spans="1:16" s="53" customFormat="1" ht="25.5" customHeight="1" thickBot="1" x14ac:dyDescent="0.4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41"/>
      <c r="P58" s="54"/>
    </row>
    <row r="59" spans="1:16" s="53" customFormat="1" ht="25.5" customHeight="1" thickBot="1" x14ac:dyDescent="0.4">
      <c r="A59" s="131"/>
      <c r="B59" s="131"/>
      <c r="C59" s="131"/>
      <c r="D59" s="131"/>
      <c r="E59" s="354" t="s">
        <v>28</v>
      </c>
      <c r="F59" s="354"/>
      <c r="G59" s="135">
        <f>G8</f>
        <v>7</v>
      </c>
      <c r="H59" s="136" t="s">
        <v>5</v>
      </c>
      <c r="I59" s="297" t="str">
        <f>IFERROR(IF(G59="","",所得計算R7!L16),"")</f>
        <v/>
      </c>
      <c r="J59" s="298"/>
      <c r="K59" s="131"/>
      <c r="L59" s="131"/>
      <c r="M59" s="131"/>
      <c r="N59" s="131"/>
      <c r="O59" s="141"/>
      <c r="P59" s="56"/>
    </row>
    <row r="60" spans="1:16" s="53" customFormat="1" ht="25.5" customHeight="1" thickBot="1" x14ac:dyDescent="0.4">
      <c r="A60" s="131"/>
      <c r="B60" s="131"/>
      <c r="C60" s="131"/>
      <c r="D60" s="131"/>
      <c r="E60" s="131"/>
      <c r="F60" s="131"/>
      <c r="G60" s="137">
        <f>所得計算R7!Q13</f>
        <v>8</v>
      </c>
      <c r="H60" s="136" t="s">
        <v>48</v>
      </c>
      <c r="I60" s="285" t="str">
        <f>IFERROR(IF(G59="","",所得計算R7!K16),"")</f>
        <v/>
      </c>
      <c r="J60" s="286"/>
      <c r="K60" s="131"/>
      <c r="L60" s="131"/>
      <c r="M60" s="131"/>
      <c r="N60" s="131"/>
      <c r="O60" s="141"/>
      <c r="P60" s="56"/>
    </row>
    <row r="61" spans="1:16" s="53" customFormat="1" ht="25.5" customHeight="1" x14ac:dyDescent="0.35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41"/>
      <c r="P61" s="57"/>
    </row>
    <row r="62" spans="1:16" s="53" customFormat="1" ht="16.5" x14ac:dyDescent="0.35">
      <c r="C62" s="54"/>
      <c r="P62" s="54"/>
    </row>
    <row r="63" spans="1:16" s="53" customFormat="1" ht="16.5" x14ac:dyDescent="0.35">
      <c r="C63" s="54"/>
      <c r="P63" s="54"/>
    </row>
    <row r="64" spans="1:16" s="53" customFormat="1" ht="16.5" x14ac:dyDescent="0.35">
      <c r="C64" s="54"/>
      <c r="P64" s="54"/>
    </row>
    <row r="65" spans="3:16" s="53" customFormat="1" ht="16.5" x14ac:dyDescent="0.35">
      <c r="C65" s="54"/>
      <c r="P65" s="54"/>
    </row>
    <row r="66" spans="3:16" x14ac:dyDescent="0.4">
      <c r="P66" s="54"/>
    </row>
    <row r="67" spans="3:16" x14ac:dyDescent="0.4">
      <c r="P67" s="54"/>
    </row>
  </sheetData>
  <sheetProtection sheet="1" selectLockedCells="1"/>
  <mergeCells count="101">
    <mergeCell ref="D36:D37"/>
    <mergeCell ref="K36:K37"/>
    <mergeCell ref="J36:J37"/>
    <mergeCell ref="I36:I37"/>
    <mergeCell ref="D41:D42"/>
    <mergeCell ref="B39:C42"/>
    <mergeCell ref="A16:B17"/>
    <mergeCell ref="A18:B19"/>
    <mergeCell ref="E59:F59"/>
    <mergeCell ref="L48:M49"/>
    <mergeCell ref="A43:C43"/>
    <mergeCell ref="B48:C48"/>
    <mergeCell ref="L52:M53"/>
    <mergeCell ref="J52:K53"/>
    <mergeCell ref="B52:C52"/>
    <mergeCell ref="L44:M45"/>
    <mergeCell ref="L46:M46"/>
    <mergeCell ref="D48:E48"/>
    <mergeCell ref="D44:F44"/>
    <mergeCell ref="G44:I44"/>
    <mergeCell ref="D14:D15"/>
    <mergeCell ref="H14:H15"/>
    <mergeCell ref="D34:F34"/>
    <mergeCell ref="B32:M32"/>
    <mergeCell ref="B26:I27"/>
    <mergeCell ref="I20:I21"/>
    <mergeCell ref="C14:C15"/>
    <mergeCell ref="L14:L15"/>
    <mergeCell ref="I14:I15"/>
    <mergeCell ref="J14:J15"/>
    <mergeCell ref="M20:M21"/>
    <mergeCell ref="I22:I23"/>
    <mergeCell ref="J22:J23"/>
    <mergeCell ref="C22:C23"/>
    <mergeCell ref="M22:M23"/>
    <mergeCell ref="L22:L23"/>
    <mergeCell ref="C16:C17"/>
    <mergeCell ref="C18:C19"/>
    <mergeCell ref="C20:C21"/>
    <mergeCell ref="I60:J60"/>
    <mergeCell ref="K22:K23"/>
    <mergeCell ref="J44:K46"/>
    <mergeCell ref="D39:F39"/>
    <mergeCell ref="G39:I39"/>
    <mergeCell ref="I57:J57"/>
    <mergeCell ref="I59:J59"/>
    <mergeCell ref="J48:K49"/>
    <mergeCell ref="J54:K54"/>
    <mergeCell ref="J55:M55"/>
    <mergeCell ref="L54:M54"/>
    <mergeCell ref="B55:D55"/>
    <mergeCell ref="B44:C46"/>
    <mergeCell ref="L39:M40"/>
    <mergeCell ref="A33:C33"/>
    <mergeCell ref="G34:I34"/>
    <mergeCell ref="J34:K34"/>
    <mergeCell ref="M28:N29"/>
    <mergeCell ref="A38:C38"/>
    <mergeCell ref="C28:C29"/>
    <mergeCell ref="L34:M35"/>
    <mergeCell ref="B34:C37"/>
    <mergeCell ref="F36:F37"/>
    <mergeCell ref="E36:E37"/>
    <mergeCell ref="C4:E4"/>
    <mergeCell ref="B2:M2"/>
    <mergeCell ref="B6:D6"/>
    <mergeCell ref="B7:K7"/>
    <mergeCell ref="B10:E10"/>
    <mergeCell ref="K4:M4"/>
    <mergeCell ref="B25:D25"/>
    <mergeCell ref="B11:N13"/>
    <mergeCell ref="A14:B15"/>
    <mergeCell ref="A20:B21"/>
    <mergeCell ref="A22:B23"/>
    <mergeCell ref="M14:M15"/>
    <mergeCell ref="I16:I17"/>
    <mergeCell ref="J16:J17"/>
    <mergeCell ref="J20:J21"/>
    <mergeCell ref="K20:K21"/>
    <mergeCell ref="L20:L21"/>
    <mergeCell ref="N16:N17"/>
    <mergeCell ref="I18:I19"/>
    <mergeCell ref="J18:J19"/>
    <mergeCell ref="K18:K19"/>
    <mergeCell ref="N18:N19"/>
    <mergeCell ref="M16:M17"/>
    <mergeCell ref="M18:M19"/>
    <mergeCell ref="N36:N37"/>
    <mergeCell ref="L36:M37"/>
    <mergeCell ref="K14:K15"/>
    <mergeCell ref="L18:L19"/>
    <mergeCell ref="N41:N42"/>
    <mergeCell ref="L41:M42"/>
    <mergeCell ref="I41:I42"/>
    <mergeCell ref="F41:F42"/>
    <mergeCell ref="J39:K42"/>
    <mergeCell ref="K16:K17"/>
    <mergeCell ref="L16:L17"/>
    <mergeCell ref="G14:G15"/>
    <mergeCell ref="E14:F14"/>
    <mergeCell ref="E41:E42"/>
  </mergeCells>
  <phoneticPr fontId="2"/>
  <dataValidations count="1">
    <dataValidation type="list" allowBlank="1" showInputMessage="1" showErrorMessage="1" sqref="M16 M18 M20 M22">
      <formula1>",有"</formula1>
    </dataValidation>
  </dataValidations>
  <pageMargins left="0.39370078740157483" right="0.23622047244094491" top="0.19685039370078741" bottom="0.19685039370078741" header="0.23622047244094491" footer="0.15748031496062992"/>
  <pageSetup paperSize="9" scale="51" orientation="portrait" r:id="rId1"/>
  <headerFooter alignWithMargins="0"/>
  <rowBreaks count="1" manualBreakCount="1">
    <brk id="30" max="13" man="1"/>
  </rowBreaks>
  <ignoredErrors>
    <ignoredError sqref="L16 L18 L20 L22" unlockedFormula="1"/>
  </ignoredErrors>
  <drawing r:id="rId2"/>
  <legacyDrawing r:id="rId3"/>
  <controls>
    <mc:AlternateContent xmlns:mc="http://schemas.openxmlformats.org/markup-compatibility/2006">
      <mc:Choice Requires="x14">
        <control shapeId="1029" r:id="rId4" name="CommandButton1">
          <controlPr defaultSize="0" autoLine="0" r:id="rId5">
            <anchor moveWithCells="1">
              <from>
                <xdr:col>12</xdr:col>
                <xdr:colOff>38100</xdr:colOff>
                <xdr:row>57</xdr:row>
                <xdr:rowOff>0</xdr:rowOff>
              </from>
              <to>
                <xdr:col>13</xdr:col>
                <xdr:colOff>571500</xdr:colOff>
                <xdr:row>59</xdr:row>
                <xdr:rowOff>66675</xdr:rowOff>
              </to>
            </anchor>
          </controlPr>
        </control>
      </mc:Choice>
      <mc:Fallback>
        <control shapeId="1029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  <pageSetUpPr fitToPage="1"/>
  </sheetPr>
  <dimension ref="A1:Q77"/>
  <sheetViews>
    <sheetView topLeftCell="A25" zoomScale="85" zoomScaleNormal="85" workbookViewId="0">
      <selection activeCell="I69" sqref="I69"/>
    </sheetView>
  </sheetViews>
  <sheetFormatPr defaultRowHeight="13.5" x14ac:dyDescent="0.15"/>
  <cols>
    <col min="1" max="1" width="14.625" style="3" bestFit="1" customWidth="1"/>
    <col min="2" max="4" width="11.625" style="3" customWidth="1"/>
    <col min="5" max="5" width="11.625" style="24" customWidth="1"/>
    <col min="6" max="13" width="11.625" style="3" customWidth="1"/>
    <col min="14" max="15" width="31.5" style="3" bestFit="1" customWidth="1"/>
    <col min="16" max="16384" width="9" style="3"/>
  </cols>
  <sheetData>
    <row r="1" spans="1:17" x14ac:dyDescent="0.15">
      <c r="A1" s="1" t="s">
        <v>6</v>
      </c>
      <c r="B1" s="2"/>
      <c r="C1" s="1" t="s">
        <v>6</v>
      </c>
      <c r="D1" s="2"/>
      <c r="E1" s="1" t="s">
        <v>6</v>
      </c>
      <c r="F1" s="2"/>
      <c r="G1" s="1" t="s">
        <v>6</v>
      </c>
      <c r="H1" s="2"/>
      <c r="I1" s="1" t="s">
        <v>59</v>
      </c>
      <c r="J1" s="2"/>
      <c r="L1" s="392" t="s">
        <v>14</v>
      </c>
      <c r="M1" s="392"/>
      <c r="P1" s="3" t="s">
        <v>25</v>
      </c>
    </row>
    <row r="2" spans="1:17" x14ac:dyDescent="0.15">
      <c r="A2" s="4" t="s">
        <v>8</v>
      </c>
      <c r="B2" s="5">
        <f>試算シミュレーション!D16</f>
        <v>0</v>
      </c>
      <c r="C2" s="4" t="s">
        <v>8</v>
      </c>
      <c r="D2" s="5">
        <f>試算シミュレーション!D18</f>
        <v>0</v>
      </c>
      <c r="E2" s="4" t="s">
        <v>8</v>
      </c>
      <c r="F2" s="5">
        <f>試算シミュレーション!D20</f>
        <v>0</v>
      </c>
      <c r="G2" s="4" t="s">
        <v>8</v>
      </c>
      <c r="H2" s="5">
        <f>試算シミュレーション!D22</f>
        <v>0</v>
      </c>
      <c r="I2" s="4" t="s">
        <v>58</v>
      </c>
      <c r="J2" s="5">
        <f>試算シミュレーション!D29</f>
        <v>0</v>
      </c>
      <c r="L2" s="6" t="s">
        <v>15</v>
      </c>
      <c r="M2" s="3" t="str">
        <f>試算シミュレーション!I57</f>
        <v/>
      </c>
      <c r="P2" s="3">
        <v>1</v>
      </c>
      <c r="Q2" s="3">
        <v>2</v>
      </c>
    </row>
    <row r="3" spans="1:17" ht="14.25" x14ac:dyDescent="0.15">
      <c r="A3" s="7">
        <v>0</v>
      </c>
      <c r="B3" s="8">
        <v>0</v>
      </c>
      <c r="C3" s="7">
        <v>0</v>
      </c>
      <c r="D3" s="8">
        <v>0</v>
      </c>
      <c r="E3" s="7">
        <v>0</v>
      </c>
      <c r="F3" s="8">
        <v>0</v>
      </c>
      <c r="G3" s="7">
        <v>0</v>
      </c>
      <c r="H3" s="8">
        <v>0</v>
      </c>
      <c r="I3" s="7">
        <v>0</v>
      </c>
      <c r="J3" s="8">
        <v>0</v>
      </c>
      <c r="L3" s="3">
        <v>1</v>
      </c>
      <c r="M3" s="9" t="e">
        <f>IF(M2&lt;3000,M2,ROUNDDOWN(M2/3,-3))</f>
        <v>#VALUE!</v>
      </c>
      <c r="N3" s="3" t="e">
        <f>IF(M2=M3,0,SUM(M2-(M3*2)))</f>
        <v>#VALUE!</v>
      </c>
      <c r="P3" s="3">
        <v>2</v>
      </c>
      <c r="Q3" s="3">
        <v>3</v>
      </c>
    </row>
    <row r="4" spans="1:17" ht="14.25" x14ac:dyDescent="0.15">
      <c r="A4" s="7">
        <v>551000</v>
      </c>
      <c r="B4" s="8">
        <f>B2-550000</f>
        <v>-550000</v>
      </c>
      <c r="C4" s="7">
        <v>551000</v>
      </c>
      <c r="D4" s="8">
        <f>D2-550000</f>
        <v>-550000</v>
      </c>
      <c r="E4" s="7">
        <v>551000</v>
      </c>
      <c r="F4" s="8">
        <f>F2-550000</f>
        <v>-550000</v>
      </c>
      <c r="G4" s="7">
        <v>551000</v>
      </c>
      <c r="H4" s="8">
        <f>H2-550000</f>
        <v>-550000</v>
      </c>
      <c r="I4" s="7">
        <v>551000</v>
      </c>
      <c r="J4" s="8">
        <f>J2-550000</f>
        <v>-550000</v>
      </c>
      <c r="L4" s="3">
        <v>2</v>
      </c>
      <c r="M4" s="9" t="e">
        <f>IF(M2&lt;1000,M2,ROUNDDOWN(M2/2,-3))</f>
        <v>#VALUE!</v>
      </c>
      <c r="N4" s="3" t="e">
        <f>IF(M2=M4,0,SUM(M2-(M4)))</f>
        <v>#VALUE!</v>
      </c>
      <c r="P4" s="3">
        <v>3</v>
      </c>
    </row>
    <row r="5" spans="1:17" ht="14.25" x14ac:dyDescent="0.15">
      <c r="A5" s="7">
        <v>1619000</v>
      </c>
      <c r="B5" s="8">
        <v>1069000</v>
      </c>
      <c r="C5" s="7">
        <v>1619000</v>
      </c>
      <c r="D5" s="8">
        <v>1069000</v>
      </c>
      <c r="E5" s="7">
        <v>1619000</v>
      </c>
      <c r="F5" s="8">
        <v>1069000</v>
      </c>
      <c r="G5" s="7">
        <v>1619000</v>
      </c>
      <c r="H5" s="8">
        <v>1069000</v>
      </c>
      <c r="I5" s="7">
        <v>1619000</v>
      </c>
      <c r="J5" s="8">
        <v>1069000</v>
      </c>
      <c r="L5" s="3">
        <v>3</v>
      </c>
      <c r="M5" s="9"/>
      <c r="N5" s="3" t="str">
        <f>M2</f>
        <v/>
      </c>
      <c r="P5" s="3">
        <v>7</v>
      </c>
      <c r="Q5" s="3">
        <v>8</v>
      </c>
    </row>
    <row r="6" spans="1:17" ht="14.25" x14ac:dyDescent="0.15">
      <c r="A6" s="7">
        <v>1620000</v>
      </c>
      <c r="B6" s="8">
        <v>1070000</v>
      </c>
      <c r="C6" s="7">
        <v>1620000</v>
      </c>
      <c r="D6" s="8">
        <v>1070000</v>
      </c>
      <c r="E6" s="7">
        <v>1620000</v>
      </c>
      <c r="F6" s="8">
        <v>1070000</v>
      </c>
      <c r="G6" s="7">
        <v>1620000</v>
      </c>
      <c r="H6" s="8">
        <v>1070000</v>
      </c>
      <c r="I6" s="7">
        <v>1620000</v>
      </c>
      <c r="J6" s="8">
        <v>1070000</v>
      </c>
      <c r="L6" s="3">
        <v>7</v>
      </c>
      <c r="M6" s="9" t="e">
        <f>IF(M2&lt;9000,M2,ROUNDDOWN(M2/9,-3))</f>
        <v>#VALUE!</v>
      </c>
      <c r="N6" s="3" t="e">
        <f>IF(M2=M6,0,SUM(M2-(M6*8)))</f>
        <v>#VALUE!</v>
      </c>
      <c r="P6" s="3">
        <v>8</v>
      </c>
      <c r="Q6" s="3">
        <v>9</v>
      </c>
    </row>
    <row r="7" spans="1:17" ht="14.25" x14ac:dyDescent="0.15">
      <c r="A7" s="7">
        <v>1622000</v>
      </c>
      <c r="B7" s="8">
        <v>1072000</v>
      </c>
      <c r="C7" s="7">
        <v>1622000</v>
      </c>
      <c r="D7" s="8">
        <v>1072000</v>
      </c>
      <c r="E7" s="7">
        <v>1622000</v>
      </c>
      <c r="F7" s="8">
        <v>1072000</v>
      </c>
      <c r="G7" s="7">
        <v>1622000</v>
      </c>
      <c r="H7" s="8">
        <v>1072000</v>
      </c>
      <c r="I7" s="7">
        <v>1622000</v>
      </c>
      <c r="J7" s="8">
        <v>1072000</v>
      </c>
      <c r="L7" s="3">
        <v>8</v>
      </c>
      <c r="M7" s="9" t="e">
        <f>IF(M2&lt;8000,M2,ROUNDDOWN(M2/8,-3))</f>
        <v>#VALUE!</v>
      </c>
      <c r="N7" s="3" t="e">
        <f>IF(M2=M7,0,SUM(M2-(M7*7)))</f>
        <v>#VALUE!</v>
      </c>
      <c r="P7" s="3">
        <v>9</v>
      </c>
      <c r="Q7" s="3">
        <v>10</v>
      </c>
    </row>
    <row r="8" spans="1:17" ht="14.25" x14ac:dyDescent="0.15">
      <c r="A8" s="7">
        <v>1624000</v>
      </c>
      <c r="B8" s="8">
        <v>1074000</v>
      </c>
      <c r="C8" s="7">
        <v>1624000</v>
      </c>
      <c r="D8" s="8">
        <v>1074000</v>
      </c>
      <c r="E8" s="7">
        <v>1624000</v>
      </c>
      <c r="F8" s="8">
        <v>1074000</v>
      </c>
      <c r="G8" s="7">
        <v>1624000</v>
      </c>
      <c r="H8" s="8">
        <v>1074000</v>
      </c>
      <c r="I8" s="7">
        <v>1624000</v>
      </c>
      <c r="J8" s="8">
        <v>1074000</v>
      </c>
      <c r="L8" s="3">
        <v>9</v>
      </c>
      <c r="M8" s="9" t="e">
        <f>IF(M2&lt;7000,M2,ROUNDDOWN(M2/7,-3))</f>
        <v>#VALUE!</v>
      </c>
      <c r="N8" s="3" t="e">
        <f>IF(M2=M8,0,SUM(M2-(M8*6)))</f>
        <v>#VALUE!</v>
      </c>
      <c r="P8" s="3">
        <v>10</v>
      </c>
      <c r="Q8" s="3">
        <v>11</v>
      </c>
    </row>
    <row r="9" spans="1:17" ht="14.25" x14ac:dyDescent="0.15">
      <c r="A9" s="7">
        <v>1628000</v>
      </c>
      <c r="B9" s="8">
        <f>ROUNDDOWN(B2/4000,0)*2400+100000</f>
        <v>100000</v>
      </c>
      <c r="C9" s="7">
        <v>1628000</v>
      </c>
      <c r="D9" s="8">
        <f>ROUNDDOWN(D2/4000,0)*2400+100000</f>
        <v>100000</v>
      </c>
      <c r="E9" s="7">
        <v>1628000</v>
      </c>
      <c r="F9" s="8">
        <f>ROUNDDOWN(F2/4000,0)*2400+100000</f>
        <v>100000</v>
      </c>
      <c r="G9" s="7">
        <v>1628000</v>
      </c>
      <c r="H9" s="8">
        <f>ROUNDDOWN(H2/4000,0)*2400+100000</f>
        <v>100000</v>
      </c>
      <c r="I9" s="7">
        <v>1628000</v>
      </c>
      <c r="J9" s="8">
        <f>ROUNDDOWN(J2/4000,0)*2400+100000</f>
        <v>100000</v>
      </c>
      <c r="L9" s="3">
        <v>10</v>
      </c>
      <c r="M9" s="9" t="e">
        <f>IF(M2&lt;6000,M2,ROUNDDOWN(M2/6,-3))</f>
        <v>#VALUE!</v>
      </c>
      <c r="N9" s="3" t="e">
        <f>IF(M2=M9,0,SUM(M2-(M9*5)))</f>
        <v>#VALUE!</v>
      </c>
      <c r="P9" s="3">
        <v>11</v>
      </c>
      <c r="Q9" s="3">
        <v>12</v>
      </c>
    </row>
    <row r="10" spans="1:17" ht="14.25" x14ac:dyDescent="0.15">
      <c r="A10" s="7">
        <v>1800000</v>
      </c>
      <c r="B10" s="8">
        <f>ROUNDDOWN(B2/4000,0)*2800-80000</f>
        <v>-80000</v>
      </c>
      <c r="C10" s="7">
        <v>1800000</v>
      </c>
      <c r="D10" s="8">
        <f>ROUNDDOWN(D2/4000,0)*2800-80000</f>
        <v>-80000</v>
      </c>
      <c r="E10" s="7">
        <v>1800000</v>
      </c>
      <c r="F10" s="8">
        <f>ROUNDDOWN(F2/4000,0)*2800-80000</f>
        <v>-80000</v>
      </c>
      <c r="G10" s="7">
        <v>1800000</v>
      </c>
      <c r="H10" s="8">
        <f>ROUNDDOWN(H2/4000,0)*2800-80000</f>
        <v>-80000</v>
      </c>
      <c r="I10" s="7">
        <v>1800000</v>
      </c>
      <c r="J10" s="8">
        <f>ROUNDDOWN(J2/4000,0)*2800-80000</f>
        <v>-80000</v>
      </c>
      <c r="L10" s="3">
        <v>11</v>
      </c>
      <c r="M10" s="9" t="e">
        <f>IF(M2&lt;5000,M2,ROUNDDOWN(M2/5,-3))</f>
        <v>#VALUE!</v>
      </c>
      <c r="N10" s="3" t="e">
        <f>IF(M2=M10,0,SUM(M2-(M10*4)))</f>
        <v>#VALUE!</v>
      </c>
      <c r="P10" s="3">
        <v>12</v>
      </c>
      <c r="Q10" s="3">
        <v>1</v>
      </c>
    </row>
    <row r="11" spans="1:17" ht="14.25" x14ac:dyDescent="0.15">
      <c r="A11" s="7">
        <v>3600000</v>
      </c>
      <c r="B11" s="8">
        <f>(ROUNDDOWN(B2/4000,0)*3200)-440000</f>
        <v>-440000</v>
      </c>
      <c r="C11" s="7">
        <v>3600000</v>
      </c>
      <c r="D11" s="8">
        <f>(ROUNDDOWN(D2/4000,0)*3200)-440000</f>
        <v>-440000</v>
      </c>
      <c r="E11" s="7">
        <v>3600000</v>
      </c>
      <c r="F11" s="8">
        <f>(ROUNDDOWN(F2/4000,0)*3200)-440000</f>
        <v>-440000</v>
      </c>
      <c r="G11" s="7">
        <v>3600000</v>
      </c>
      <c r="H11" s="8">
        <f>(ROUNDDOWN(H2/4000,0)*3200)-440000</f>
        <v>-440000</v>
      </c>
      <c r="I11" s="7">
        <v>3600000</v>
      </c>
      <c r="J11" s="8">
        <f>(ROUNDDOWN(J2/4000,0)*3200)-440000</f>
        <v>-440000</v>
      </c>
      <c r="L11" s="3">
        <v>12</v>
      </c>
      <c r="M11" s="9" t="e">
        <f>IF(M2&lt;4000,M2,ROUNDDOWN(M2/4,-3))</f>
        <v>#VALUE!</v>
      </c>
      <c r="N11" s="3" t="e">
        <f>IF(M2=M11,0,SUM(M2-(M11*3)))</f>
        <v>#VALUE!</v>
      </c>
    </row>
    <row r="12" spans="1:17" x14ac:dyDescent="0.15">
      <c r="A12" s="7">
        <v>6600000</v>
      </c>
      <c r="B12" s="8">
        <f>ROUNDDOWN(B2*0.9-1100000,0)</f>
        <v>-1100000</v>
      </c>
      <c r="C12" s="7">
        <v>6600000</v>
      </c>
      <c r="D12" s="8">
        <f>ROUNDDOWN(D2*0.9-1100000,0)</f>
        <v>-1100000</v>
      </c>
      <c r="E12" s="7">
        <v>6600000</v>
      </c>
      <c r="F12" s="8">
        <f>ROUNDDOWN(F2*0.9-1100000,0)</f>
        <v>-1100000</v>
      </c>
      <c r="G12" s="7">
        <v>6600000</v>
      </c>
      <c r="H12" s="8">
        <f>ROUNDDOWN(H2*0.9-1100000,0)</f>
        <v>-1100000</v>
      </c>
      <c r="I12" s="7">
        <v>6600000</v>
      </c>
      <c r="J12" s="8">
        <f>ROUNDDOWN(J2*0.9-1100000,0)</f>
        <v>-1100000</v>
      </c>
      <c r="P12" s="6" t="s">
        <v>24</v>
      </c>
    </row>
    <row r="13" spans="1:17" x14ac:dyDescent="0.15">
      <c r="A13" s="7">
        <v>8500000</v>
      </c>
      <c r="B13" s="8">
        <f>ROUNDDOWN(B2-1950000,0)</f>
        <v>-1950000</v>
      </c>
      <c r="C13" s="7">
        <v>8500000</v>
      </c>
      <c r="D13" s="8">
        <f>ROUNDDOWN(D2-1950000,0)</f>
        <v>-1950000</v>
      </c>
      <c r="E13" s="7">
        <v>8500000</v>
      </c>
      <c r="F13" s="8">
        <f>ROUNDDOWN(F2-1950000,0)</f>
        <v>-1950000</v>
      </c>
      <c r="G13" s="7">
        <v>8500000</v>
      </c>
      <c r="H13" s="8">
        <f>ROUNDDOWN(H2-1950000,0)</f>
        <v>-1950000</v>
      </c>
      <c r="I13" s="7">
        <v>8500000</v>
      </c>
      <c r="J13" s="8">
        <f>ROUNDDOWN(J2-1950000,0)</f>
        <v>-1950000</v>
      </c>
      <c r="L13" s="6" t="s">
        <v>24</v>
      </c>
      <c r="P13" s="3">
        <f>L14</f>
        <v>7</v>
      </c>
      <c r="Q13" s="3">
        <f>IF(P13=0,"",LOOKUP(P13,P2:P10,Q2:Q10))</f>
        <v>8</v>
      </c>
    </row>
    <row r="14" spans="1:17" x14ac:dyDescent="0.15">
      <c r="A14" s="10"/>
      <c r="B14" s="11"/>
      <c r="C14" s="10"/>
      <c r="D14" s="11"/>
      <c r="E14" s="10"/>
      <c r="F14" s="11"/>
      <c r="G14" s="10"/>
      <c r="H14" s="11"/>
      <c r="L14" s="3">
        <f>試算シミュレーション!G59</f>
        <v>7</v>
      </c>
    </row>
    <row r="15" spans="1:17" x14ac:dyDescent="0.15">
      <c r="A15" s="12"/>
      <c r="B15" s="12"/>
      <c r="C15" s="12"/>
      <c r="D15" s="12"/>
      <c r="E15" s="12"/>
      <c r="F15" s="12"/>
      <c r="G15" s="12"/>
      <c r="H15" s="12"/>
    </row>
    <row r="16" spans="1:17" x14ac:dyDescent="0.15">
      <c r="A16" s="12"/>
      <c r="B16" s="12"/>
      <c r="C16" s="12"/>
      <c r="D16" s="12"/>
      <c r="E16" s="12"/>
      <c r="F16" s="12"/>
      <c r="G16" s="12"/>
      <c r="H16" s="12"/>
      <c r="K16" s="3" t="e">
        <f>IF(L14=0,"",LOOKUP(L14,L3:L11,M3:M11))</f>
        <v>#VALUE!</v>
      </c>
      <c r="L16" s="3" t="e">
        <f>IF(L14=0,"",LOOKUP(L14,L3:L12,N3:N12))</f>
        <v>#VALUE!</v>
      </c>
    </row>
    <row r="17" spans="1:10" x14ac:dyDescent="0.15">
      <c r="A17" s="1" t="s">
        <v>7</v>
      </c>
      <c r="B17" s="2"/>
      <c r="C17" s="1" t="s">
        <v>7</v>
      </c>
      <c r="D17" s="2"/>
      <c r="E17" s="1" t="s">
        <v>7</v>
      </c>
      <c r="F17" s="2"/>
      <c r="G17" s="1" t="s">
        <v>7</v>
      </c>
      <c r="H17" s="2"/>
      <c r="I17" s="1" t="s">
        <v>139</v>
      </c>
      <c r="J17" s="2"/>
    </row>
    <row r="18" spans="1:10" x14ac:dyDescent="0.15">
      <c r="A18" s="13" t="s">
        <v>9</v>
      </c>
      <c r="B18" s="14"/>
      <c r="C18" s="13" t="s">
        <v>9</v>
      </c>
      <c r="D18" s="14"/>
      <c r="E18" s="13" t="s">
        <v>9</v>
      </c>
      <c r="F18" s="14"/>
      <c r="G18" s="13" t="s">
        <v>9</v>
      </c>
      <c r="H18" s="14"/>
      <c r="I18" s="13" t="s">
        <v>9</v>
      </c>
      <c r="J18" s="14"/>
    </row>
    <row r="19" spans="1:10" x14ac:dyDescent="0.15">
      <c r="A19" s="15" t="s">
        <v>10</v>
      </c>
      <c r="B19" s="16">
        <f>試算シミュレーション!E16</f>
        <v>0</v>
      </c>
      <c r="C19" s="15" t="s">
        <v>10</v>
      </c>
      <c r="D19" s="16">
        <f>試算シミュレーション!E18</f>
        <v>0</v>
      </c>
      <c r="E19" s="15" t="s">
        <v>10</v>
      </c>
      <c r="F19" s="16">
        <f>試算シミュレーション!E20</f>
        <v>0</v>
      </c>
      <c r="G19" s="15" t="s">
        <v>10</v>
      </c>
      <c r="H19" s="16">
        <f>試算シミュレーション!E22</f>
        <v>0</v>
      </c>
      <c r="I19" s="15" t="s">
        <v>10</v>
      </c>
      <c r="J19" s="16">
        <f>試算シミュレーション!F29</f>
        <v>0</v>
      </c>
    </row>
    <row r="20" spans="1:10" x14ac:dyDescent="0.15">
      <c r="A20" s="7">
        <v>0</v>
      </c>
      <c r="B20" s="8">
        <v>0</v>
      </c>
      <c r="C20" s="7">
        <v>0</v>
      </c>
      <c r="D20" s="8">
        <v>0</v>
      </c>
      <c r="E20" s="7">
        <v>0</v>
      </c>
      <c r="F20" s="8">
        <v>0</v>
      </c>
      <c r="G20" s="7">
        <v>0</v>
      </c>
      <c r="H20" s="8">
        <v>0</v>
      </c>
      <c r="I20" s="7">
        <v>0</v>
      </c>
      <c r="J20" s="8">
        <v>0</v>
      </c>
    </row>
    <row r="21" spans="1:10" x14ac:dyDescent="0.15">
      <c r="A21" s="7">
        <v>600001</v>
      </c>
      <c r="B21" s="8">
        <f>B19-600000</f>
        <v>-600000</v>
      </c>
      <c r="C21" s="7">
        <v>600001</v>
      </c>
      <c r="D21" s="8">
        <f>D19-600000</f>
        <v>-600000</v>
      </c>
      <c r="E21" s="7">
        <v>600001</v>
      </c>
      <c r="F21" s="8">
        <f>F19-600000</f>
        <v>-600000</v>
      </c>
      <c r="G21" s="7">
        <v>600001</v>
      </c>
      <c r="H21" s="8">
        <f>H19-600000</f>
        <v>-600000</v>
      </c>
      <c r="I21" s="7">
        <v>600001</v>
      </c>
      <c r="J21" s="8">
        <f>J19-600000</f>
        <v>-600000</v>
      </c>
    </row>
    <row r="22" spans="1:10" x14ac:dyDescent="0.15">
      <c r="A22" s="7">
        <v>1300000</v>
      </c>
      <c r="B22" s="8">
        <f>ROUNDDOWN(B19*0.75-275000,0)</f>
        <v>-275000</v>
      </c>
      <c r="C22" s="7">
        <v>1300000</v>
      </c>
      <c r="D22" s="8">
        <f>ROUNDDOWN(D19*0.75-275000,0)</f>
        <v>-275000</v>
      </c>
      <c r="E22" s="7">
        <v>1300000</v>
      </c>
      <c r="F22" s="8">
        <f>ROUNDDOWN(F19*0.75-275000,0)</f>
        <v>-275000</v>
      </c>
      <c r="G22" s="7">
        <v>1300000</v>
      </c>
      <c r="H22" s="8">
        <f>ROUNDDOWN(H19*0.75-275000,0)</f>
        <v>-275000</v>
      </c>
      <c r="I22" s="7">
        <v>1300000</v>
      </c>
      <c r="J22" s="8">
        <f>ROUNDDOWN(J19*0.75-275000,0)</f>
        <v>-275000</v>
      </c>
    </row>
    <row r="23" spans="1:10" x14ac:dyDescent="0.15">
      <c r="A23" s="7">
        <v>4100000</v>
      </c>
      <c r="B23" s="8">
        <f>ROUNDDOWN(B19*0.85-685000,0)</f>
        <v>-685000</v>
      </c>
      <c r="C23" s="7">
        <v>4100000</v>
      </c>
      <c r="D23" s="8">
        <f>ROUNDDOWN(D19*0.85-685000,0)</f>
        <v>-685000</v>
      </c>
      <c r="E23" s="7">
        <v>4100000</v>
      </c>
      <c r="F23" s="8">
        <f>ROUNDDOWN(F19*0.85-685000,0)</f>
        <v>-685000</v>
      </c>
      <c r="G23" s="7">
        <v>4100000</v>
      </c>
      <c r="H23" s="8">
        <f>ROUNDDOWN(H19*0.85-685000,0)</f>
        <v>-685000</v>
      </c>
      <c r="I23" s="7">
        <v>4100000</v>
      </c>
      <c r="J23" s="8">
        <f>ROUNDDOWN(J19*0.85-685000,0)</f>
        <v>-685000</v>
      </c>
    </row>
    <row r="24" spans="1:10" x14ac:dyDescent="0.15">
      <c r="A24" s="7">
        <v>7700000</v>
      </c>
      <c r="B24" s="8">
        <f>ROUNDDOWN(B19*0.95-1455000,0)</f>
        <v>-1455000</v>
      </c>
      <c r="C24" s="7">
        <v>7700000</v>
      </c>
      <c r="D24" s="8">
        <f>ROUNDDOWN(D19*0.95-1455000,0)</f>
        <v>-1455000</v>
      </c>
      <c r="E24" s="7">
        <v>7700000</v>
      </c>
      <c r="F24" s="8">
        <f>ROUNDDOWN(F19*0.95-1455000,0)</f>
        <v>-1455000</v>
      </c>
      <c r="G24" s="7">
        <v>7700000</v>
      </c>
      <c r="H24" s="8">
        <f>ROUNDDOWN(H19*0.95-1455000,0)</f>
        <v>-1455000</v>
      </c>
      <c r="I24" s="7">
        <v>7700000</v>
      </c>
      <c r="J24" s="8">
        <f>ROUNDDOWN(J19*0.95-1455000,0)</f>
        <v>-1455000</v>
      </c>
    </row>
    <row r="25" spans="1:10" x14ac:dyDescent="0.15">
      <c r="A25" s="7">
        <v>10000000</v>
      </c>
      <c r="B25" s="8">
        <f>ROUNDDOWN(B19-1955000,0)</f>
        <v>-1955000</v>
      </c>
      <c r="C25" s="7">
        <v>10000000</v>
      </c>
      <c r="D25" s="8">
        <f>ROUNDDOWN(D19-1955000,0)</f>
        <v>-1955000</v>
      </c>
      <c r="E25" s="7">
        <v>10000000</v>
      </c>
      <c r="F25" s="8">
        <f>ROUNDDOWN(F19-1955000,0)</f>
        <v>-1955000</v>
      </c>
      <c r="G25" s="7">
        <v>10000000</v>
      </c>
      <c r="H25" s="8">
        <f>ROUNDDOWN(H19-1955000,0)</f>
        <v>-1955000</v>
      </c>
      <c r="I25" s="7">
        <v>10000000</v>
      </c>
      <c r="J25" s="8">
        <f>ROUNDDOWN(J19-1955000,0)</f>
        <v>-1955000</v>
      </c>
    </row>
    <row r="26" spans="1:10" x14ac:dyDescent="0.15">
      <c r="A26" s="17" t="s">
        <v>11</v>
      </c>
      <c r="B26" s="2"/>
      <c r="C26" s="17" t="s">
        <v>11</v>
      </c>
      <c r="D26" s="2"/>
      <c r="E26" s="17" t="s">
        <v>11</v>
      </c>
      <c r="F26" s="2"/>
      <c r="G26" s="17" t="s">
        <v>11</v>
      </c>
      <c r="H26" s="2"/>
      <c r="I26" s="17" t="s">
        <v>11</v>
      </c>
      <c r="J26" s="2"/>
    </row>
    <row r="27" spans="1:10" x14ac:dyDescent="0.15">
      <c r="A27" s="18" t="s">
        <v>10</v>
      </c>
      <c r="B27" s="19">
        <f>試算シミュレーション!F16</f>
        <v>0</v>
      </c>
      <c r="C27" s="18" t="s">
        <v>10</v>
      </c>
      <c r="D27" s="19">
        <f>試算シミュレーション!F18</f>
        <v>0</v>
      </c>
      <c r="E27" s="18" t="s">
        <v>10</v>
      </c>
      <c r="F27" s="19">
        <f>試算シミュレーション!F20</f>
        <v>0</v>
      </c>
      <c r="G27" s="18" t="s">
        <v>10</v>
      </c>
      <c r="H27" s="19">
        <f>試算シミュレーション!F22</f>
        <v>0</v>
      </c>
      <c r="I27" s="18" t="s">
        <v>10</v>
      </c>
      <c r="J27" s="19">
        <f>試算シミュレーション!H29</f>
        <v>0</v>
      </c>
    </row>
    <row r="28" spans="1:10" x14ac:dyDescent="0.15">
      <c r="A28" s="20">
        <v>0</v>
      </c>
      <c r="B28" s="21">
        <v>0</v>
      </c>
      <c r="C28" s="20">
        <v>0</v>
      </c>
      <c r="D28" s="21">
        <v>0</v>
      </c>
      <c r="E28" s="20">
        <v>0</v>
      </c>
      <c r="F28" s="21">
        <v>0</v>
      </c>
      <c r="G28" s="20">
        <v>0</v>
      </c>
      <c r="H28" s="21">
        <v>0</v>
      </c>
      <c r="I28" s="20">
        <v>0</v>
      </c>
      <c r="J28" s="21">
        <v>0</v>
      </c>
    </row>
    <row r="29" spans="1:10" x14ac:dyDescent="0.15">
      <c r="A29" s="20">
        <v>1100000</v>
      </c>
      <c r="B29" s="21">
        <f>B27-1100000</f>
        <v>-1100000</v>
      </c>
      <c r="C29" s="20">
        <v>1100000</v>
      </c>
      <c r="D29" s="21">
        <f>D27-1100000</f>
        <v>-1100000</v>
      </c>
      <c r="E29" s="20">
        <v>1100000</v>
      </c>
      <c r="F29" s="21">
        <f>F27-1100000</f>
        <v>-1100000</v>
      </c>
      <c r="G29" s="20">
        <v>1100000</v>
      </c>
      <c r="H29" s="21">
        <f>H27-1100000</f>
        <v>-1100000</v>
      </c>
      <c r="I29" s="20">
        <v>1100000</v>
      </c>
      <c r="J29" s="21">
        <f>J27-1100000</f>
        <v>-1100000</v>
      </c>
    </row>
    <row r="30" spans="1:10" x14ac:dyDescent="0.15">
      <c r="A30" s="20">
        <v>3300000</v>
      </c>
      <c r="B30" s="21">
        <f>ROUNDDOWN(B27*0.75-275000,0)</f>
        <v>-275000</v>
      </c>
      <c r="C30" s="20">
        <v>3300000</v>
      </c>
      <c r="D30" s="21">
        <f>ROUNDDOWN(D27*0.75-275000,0)</f>
        <v>-275000</v>
      </c>
      <c r="E30" s="20">
        <v>3300000</v>
      </c>
      <c r="F30" s="21">
        <f>ROUNDDOWN(F27*0.75-275000,0)</f>
        <v>-275000</v>
      </c>
      <c r="G30" s="20">
        <v>3300000</v>
      </c>
      <c r="H30" s="21">
        <f>ROUNDDOWN(H27*0.75-275000,0)</f>
        <v>-275000</v>
      </c>
      <c r="I30" s="20">
        <v>3300000</v>
      </c>
      <c r="J30" s="21">
        <f>ROUNDDOWN(J27*0.75-275000,0)</f>
        <v>-275000</v>
      </c>
    </row>
    <row r="31" spans="1:10" x14ac:dyDescent="0.15">
      <c r="A31" s="20">
        <v>4100000</v>
      </c>
      <c r="B31" s="21">
        <f>ROUNDDOWN(B27*0.85-685000,0)</f>
        <v>-685000</v>
      </c>
      <c r="C31" s="20">
        <v>4100000</v>
      </c>
      <c r="D31" s="21">
        <f>ROUNDDOWN(D27*0.85-685000,0)</f>
        <v>-685000</v>
      </c>
      <c r="E31" s="20">
        <v>4100000</v>
      </c>
      <c r="F31" s="21">
        <f>ROUNDDOWN(F27*0.85-685000,0)</f>
        <v>-685000</v>
      </c>
      <c r="G31" s="20">
        <v>4100000</v>
      </c>
      <c r="H31" s="21">
        <f>ROUNDDOWN(H27*0.85-685000,0)</f>
        <v>-685000</v>
      </c>
      <c r="I31" s="20">
        <v>4100000</v>
      </c>
      <c r="J31" s="21">
        <f>ROUNDDOWN(J27*0.85-685000,0)</f>
        <v>-685000</v>
      </c>
    </row>
    <row r="32" spans="1:10" x14ac:dyDescent="0.15">
      <c r="A32" s="20">
        <v>7700000</v>
      </c>
      <c r="B32" s="21">
        <f>ROUNDDOWN(B27*0.95-1455000,0)</f>
        <v>-1455000</v>
      </c>
      <c r="C32" s="20">
        <v>7700000</v>
      </c>
      <c r="D32" s="21">
        <f>ROUNDDOWN(D27*0.95-1455000,0)</f>
        <v>-1455000</v>
      </c>
      <c r="E32" s="20">
        <v>7700000</v>
      </c>
      <c r="F32" s="21">
        <f>ROUNDDOWN(F27*0.95-1455000,0)</f>
        <v>-1455000</v>
      </c>
      <c r="G32" s="20">
        <v>7700000</v>
      </c>
      <c r="H32" s="21">
        <f>ROUNDDOWN(H27*0.95-1455000,0)</f>
        <v>-1455000</v>
      </c>
      <c r="I32" s="20">
        <v>7700000</v>
      </c>
      <c r="J32" s="21">
        <f>ROUNDDOWN(J27*0.95-1455000,0)</f>
        <v>-1455000</v>
      </c>
    </row>
    <row r="33" spans="1:15" x14ac:dyDescent="0.15">
      <c r="A33" s="20">
        <v>10000000</v>
      </c>
      <c r="B33" s="21">
        <f>ROUNDDOWN(B27-1955000,0)</f>
        <v>-1955000</v>
      </c>
      <c r="C33" s="20">
        <v>10000000</v>
      </c>
      <c r="D33" s="21">
        <f>ROUNDDOWN(D27-1955000,0)</f>
        <v>-1955000</v>
      </c>
      <c r="E33" s="20">
        <v>10000000</v>
      </c>
      <c r="F33" s="21">
        <f>ROUNDDOWN(F27-1955000,0)</f>
        <v>-1955000</v>
      </c>
      <c r="G33" s="20">
        <v>10000000</v>
      </c>
      <c r="H33" s="21">
        <f>ROUNDDOWN(H27-1955000,0)</f>
        <v>-1955000</v>
      </c>
      <c r="I33" s="20">
        <v>10000000</v>
      </c>
      <c r="J33" s="21">
        <f>ROUNDDOWN(J27-1955000,0)</f>
        <v>-1955000</v>
      </c>
    </row>
    <row r="36" spans="1:15" ht="40.5" x14ac:dyDescent="0.15">
      <c r="B36" s="393" t="s">
        <v>3</v>
      </c>
      <c r="C36" s="394"/>
      <c r="D36" s="394"/>
      <c r="E36" s="395"/>
      <c r="F36" s="393" t="s">
        <v>29</v>
      </c>
      <c r="G36" s="396"/>
      <c r="H36" s="396"/>
      <c r="I36" s="397" t="s">
        <v>4</v>
      </c>
      <c r="J36" s="398"/>
      <c r="K36" s="398"/>
      <c r="L36" s="22" t="s">
        <v>30</v>
      </c>
      <c r="M36" s="23"/>
      <c r="N36" s="22" t="s">
        <v>36</v>
      </c>
      <c r="O36" s="22" t="s">
        <v>37</v>
      </c>
    </row>
    <row r="37" spans="1:15" x14ac:dyDescent="0.15">
      <c r="A37" s="3" t="s">
        <v>16</v>
      </c>
      <c r="B37" s="3" t="s">
        <v>22</v>
      </c>
      <c r="C37" s="3" t="s">
        <v>17</v>
      </c>
      <c r="D37" s="3" t="s">
        <v>18</v>
      </c>
      <c r="E37" s="24" t="s">
        <v>23</v>
      </c>
      <c r="F37" s="3" t="s">
        <v>22</v>
      </c>
      <c r="G37" s="3" t="s">
        <v>17</v>
      </c>
      <c r="H37" s="24" t="s">
        <v>23</v>
      </c>
      <c r="I37" s="3" t="s">
        <v>22</v>
      </c>
      <c r="J37" s="3" t="s">
        <v>21</v>
      </c>
      <c r="K37" s="3" t="s">
        <v>23</v>
      </c>
      <c r="L37" s="3" t="s">
        <v>23</v>
      </c>
      <c r="M37" s="3" t="s">
        <v>26</v>
      </c>
    </row>
    <row r="38" spans="1:15" x14ac:dyDescent="0.15">
      <c r="A38" s="25">
        <v>2</v>
      </c>
      <c r="B38" s="25">
        <v>6.6600000000000006E-2</v>
      </c>
      <c r="C38" s="26">
        <v>17400</v>
      </c>
      <c r="D38" s="26">
        <v>24400</v>
      </c>
      <c r="E38" s="26">
        <v>630000</v>
      </c>
      <c r="F38" s="25">
        <v>1.83E-2</v>
      </c>
      <c r="G38" s="26">
        <v>8000</v>
      </c>
      <c r="H38" s="26">
        <v>190000</v>
      </c>
      <c r="I38" s="25">
        <v>1.4500000000000001E-2</v>
      </c>
      <c r="J38" s="26">
        <v>12000</v>
      </c>
      <c r="K38" s="26">
        <v>170000</v>
      </c>
      <c r="L38" s="27">
        <v>990000</v>
      </c>
      <c r="M38" s="26">
        <v>330000</v>
      </c>
      <c r="N38" s="25" t="s">
        <v>49</v>
      </c>
      <c r="O38" s="25" t="s">
        <v>53</v>
      </c>
    </row>
    <row r="39" spans="1:15" s="146" customFormat="1" x14ac:dyDescent="0.15">
      <c r="A39" s="146">
        <v>3</v>
      </c>
      <c r="B39" s="146">
        <v>6.6600000000000006E-2</v>
      </c>
      <c r="C39" s="147">
        <v>17400</v>
      </c>
      <c r="D39" s="147">
        <v>24400</v>
      </c>
      <c r="E39" s="147">
        <v>630000</v>
      </c>
      <c r="F39" s="146">
        <v>1.83E-2</v>
      </c>
      <c r="G39" s="147">
        <v>8000</v>
      </c>
      <c r="H39" s="147">
        <v>190000</v>
      </c>
      <c r="I39" s="146">
        <v>1.4500000000000001E-2</v>
      </c>
      <c r="J39" s="147">
        <v>12000</v>
      </c>
      <c r="K39" s="147">
        <v>170000</v>
      </c>
      <c r="L39" s="148">
        <v>990000</v>
      </c>
      <c r="M39" s="149">
        <v>430000</v>
      </c>
      <c r="N39" s="146" t="s">
        <v>54</v>
      </c>
      <c r="O39" s="146" t="s">
        <v>55</v>
      </c>
    </row>
    <row r="40" spans="1:15" x14ac:dyDescent="0.15">
      <c r="A40" s="25">
        <v>4</v>
      </c>
      <c r="B40" s="25">
        <v>6.6600000000000006E-2</v>
      </c>
      <c r="C40" s="26">
        <v>17400</v>
      </c>
      <c r="D40" s="26">
        <v>24400</v>
      </c>
      <c r="E40" s="26">
        <v>650000</v>
      </c>
      <c r="F40" s="25">
        <v>2.1299999999999999E-2</v>
      </c>
      <c r="G40" s="26">
        <v>12000</v>
      </c>
      <c r="H40" s="26">
        <v>200000</v>
      </c>
      <c r="I40" s="25">
        <v>1.4500000000000001E-2</v>
      </c>
      <c r="J40" s="26">
        <v>13200</v>
      </c>
      <c r="K40" s="26">
        <v>170000</v>
      </c>
      <c r="L40" s="27">
        <f>E40+H40+K40</f>
        <v>1020000</v>
      </c>
      <c r="M40" s="200">
        <v>430000</v>
      </c>
      <c r="N40" s="25" t="s">
        <v>120</v>
      </c>
      <c r="O40" s="25" t="s">
        <v>121</v>
      </c>
    </row>
    <row r="41" spans="1:15" x14ac:dyDescent="0.15">
      <c r="A41" s="25">
        <v>5</v>
      </c>
      <c r="B41" s="25">
        <v>6.6600000000000006E-2</v>
      </c>
      <c r="C41" s="26">
        <v>17400</v>
      </c>
      <c r="D41" s="26">
        <v>24400</v>
      </c>
      <c r="E41" s="26">
        <v>650000</v>
      </c>
      <c r="F41" s="25">
        <v>2.1299999999999999E-2</v>
      </c>
      <c r="G41" s="26">
        <v>12000</v>
      </c>
      <c r="H41" s="200">
        <v>220000</v>
      </c>
      <c r="I41" s="25">
        <v>1.4500000000000001E-2</v>
      </c>
      <c r="J41" s="26">
        <v>13200</v>
      </c>
      <c r="K41" s="26">
        <v>170000</v>
      </c>
      <c r="L41" s="27">
        <f>E41+H41+K41</f>
        <v>1040000</v>
      </c>
      <c r="M41" s="200">
        <v>430000</v>
      </c>
      <c r="N41" s="25" t="s">
        <v>137</v>
      </c>
      <c r="O41" s="25" t="s">
        <v>138</v>
      </c>
    </row>
    <row r="42" spans="1:15" x14ac:dyDescent="0.15">
      <c r="A42" s="25">
        <v>6</v>
      </c>
      <c r="B42" s="25">
        <v>6.6600000000000006E-2</v>
      </c>
      <c r="C42" s="26">
        <v>17400</v>
      </c>
      <c r="D42" s="26">
        <v>24400</v>
      </c>
      <c r="E42" s="26">
        <v>650000</v>
      </c>
      <c r="F42" s="25">
        <v>2.5999999999999999E-2</v>
      </c>
      <c r="G42" s="26">
        <v>12000</v>
      </c>
      <c r="H42" s="200">
        <v>240000</v>
      </c>
      <c r="I42" s="25">
        <v>1.7999999999999999E-2</v>
      </c>
      <c r="J42" s="26">
        <v>16000</v>
      </c>
      <c r="K42" s="26">
        <v>170000</v>
      </c>
      <c r="L42" s="27">
        <v>1060000</v>
      </c>
      <c r="M42" s="200">
        <v>430000</v>
      </c>
      <c r="N42" s="25" t="s">
        <v>140</v>
      </c>
      <c r="O42" s="25" t="s">
        <v>141</v>
      </c>
    </row>
    <row r="43" spans="1:15" x14ac:dyDescent="0.15">
      <c r="A43" s="28">
        <v>7</v>
      </c>
      <c r="B43" s="212">
        <v>6.6600000000000006E-2</v>
      </c>
      <c r="C43" s="29">
        <v>17400</v>
      </c>
      <c r="D43" s="29">
        <v>24400</v>
      </c>
      <c r="E43" s="48">
        <v>660000</v>
      </c>
      <c r="F43" s="213">
        <v>2.5999999999999999E-2</v>
      </c>
      <c r="G43" s="29">
        <v>12000</v>
      </c>
      <c r="H43" s="48">
        <v>260000</v>
      </c>
      <c r="I43" s="213">
        <v>1.7999999999999999E-2</v>
      </c>
      <c r="J43" s="29">
        <v>16000</v>
      </c>
      <c r="K43" s="29">
        <v>170000</v>
      </c>
      <c r="L43" s="47">
        <f>E43+H43+K43</f>
        <v>1090000</v>
      </c>
      <c r="M43" s="48">
        <v>430000</v>
      </c>
      <c r="N43" s="28" t="s">
        <v>142</v>
      </c>
      <c r="O43" s="28" t="s">
        <v>143</v>
      </c>
    </row>
    <row r="44" spans="1:15" x14ac:dyDescent="0.15">
      <c r="A44" s="3" t="s">
        <v>24</v>
      </c>
      <c r="C44" s="24"/>
      <c r="D44" s="24"/>
      <c r="G44" s="24"/>
      <c r="H44" s="24"/>
      <c r="M44" s="24"/>
    </row>
    <row r="45" spans="1:15" x14ac:dyDescent="0.15">
      <c r="A45" s="30">
        <f>試算シミュレーション!B4</f>
        <v>7</v>
      </c>
      <c r="B45" s="31">
        <f>VLOOKUP($A$45,$A$38:$O$43,2,FALSE)</f>
        <v>6.6600000000000006E-2</v>
      </c>
      <c r="C45" s="32">
        <f>VLOOKUP($A$45,$A$38:$O$43,3,FALSE)</f>
        <v>17400</v>
      </c>
      <c r="D45" s="32">
        <f>VLOOKUP($A$45,$A$38:$O$43,4,FALSE)</f>
        <v>24400</v>
      </c>
      <c r="E45" s="32">
        <f>VLOOKUP($A$45,$A$38:$O$43,5,FALSE)</f>
        <v>660000</v>
      </c>
      <c r="F45" s="31">
        <f>VLOOKUP($A$45,$A$38:$O$43,6,FALSE)</f>
        <v>2.5999999999999999E-2</v>
      </c>
      <c r="G45" s="32">
        <f>VLOOKUP($A$45,$A$38:$O$43,7,FALSE)</f>
        <v>12000</v>
      </c>
      <c r="H45" s="32">
        <f>VLOOKUP($A$45,$A$38:$O$43,8,FALSE)</f>
        <v>260000</v>
      </c>
      <c r="I45" s="31">
        <f>VLOOKUP($A$45,$A$38:$O$43,9,FALSE)</f>
        <v>1.7999999999999999E-2</v>
      </c>
      <c r="J45" s="32">
        <f>VLOOKUP($A$45,$A$38:$O$43,10,FALSE)</f>
        <v>16000</v>
      </c>
      <c r="K45" s="32">
        <f>VLOOKUP($A$45,$A$38:$O$43,11,FALSE)</f>
        <v>170000</v>
      </c>
      <c r="L45" s="32">
        <f>VLOOKUP($A$45,$A$38:$O$43,12,FALSE)</f>
        <v>1090000</v>
      </c>
      <c r="M45" s="32">
        <f>VLOOKUP($A$45,$A$38:$O$43,13,FALSE)</f>
        <v>430000</v>
      </c>
      <c r="N45" s="30" t="str">
        <f>VLOOKUP($A$45,$A$38:$O$43,14,FALSE)</f>
        <v>昭和35年1月2日以降に生まれた人</v>
      </c>
      <c r="O45" s="30" t="str">
        <f>VLOOKUP($A$45,$A$38:$O$43,15,FALSE)</f>
        <v>昭和35年1月2日以前に生まれた人</v>
      </c>
    </row>
    <row r="46" spans="1:15" x14ac:dyDescent="0.15">
      <c r="A46" s="406" t="s">
        <v>128</v>
      </c>
      <c r="B46" s="407"/>
      <c r="C46" s="399" t="s">
        <v>19</v>
      </c>
      <c r="D46" s="400"/>
      <c r="E46" s="401"/>
      <c r="F46" s="402" t="s">
        <v>31</v>
      </c>
      <c r="G46" s="403"/>
      <c r="H46" s="404"/>
      <c r="I46" s="403" t="s">
        <v>20</v>
      </c>
      <c r="J46" s="403"/>
      <c r="K46" s="404"/>
    </row>
    <row r="47" spans="1:15" x14ac:dyDescent="0.15">
      <c r="C47" s="153" t="s">
        <v>33</v>
      </c>
      <c r="D47" s="154" t="s">
        <v>34</v>
      </c>
      <c r="E47" s="155"/>
      <c r="F47" s="153" t="s">
        <v>33</v>
      </c>
      <c r="G47" s="154" t="s">
        <v>34</v>
      </c>
      <c r="H47" s="155"/>
      <c r="I47" s="163" t="s">
        <v>33</v>
      </c>
      <c r="J47" s="154" t="s">
        <v>34</v>
      </c>
      <c r="K47" s="155"/>
    </row>
    <row r="48" spans="1:15" x14ac:dyDescent="0.15">
      <c r="A48" s="159" t="s">
        <v>40</v>
      </c>
      <c r="B48" s="160" t="s">
        <v>32</v>
      </c>
      <c r="C48" s="165">
        <f>$C$45</f>
        <v>17400</v>
      </c>
      <c r="D48" s="156">
        <f>IF(所得計算R7!$N$56&lt;=$O$52,C48*試算シミュレーション!I8*0.7,0)</f>
        <v>0</v>
      </c>
      <c r="E48" s="157">
        <f>IF(D48&gt;0,1,0)</f>
        <v>0</v>
      </c>
      <c r="F48" s="169">
        <f>$G$45</f>
        <v>12000</v>
      </c>
      <c r="G48" s="156">
        <f>IF(所得計算R7!$N$56&lt;=$O$52,F48*試算シミュレーション!I8*0.7,0)</f>
        <v>0</v>
      </c>
      <c r="H48" s="157">
        <f>IF(G48&gt;0,1,0)</f>
        <v>0</v>
      </c>
      <c r="I48" s="164">
        <f>$J$45</f>
        <v>16000</v>
      </c>
      <c r="J48" s="156">
        <f>IF(所得計算R7!$N$56&lt;=$O$52,I48*試算シミュレーション!G46*0.7,0)</f>
        <v>0</v>
      </c>
      <c r="K48" s="157">
        <f>IF(J48&gt;0,1,0)</f>
        <v>0</v>
      </c>
    </row>
    <row r="49" spans="1:15" x14ac:dyDescent="0.15">
      <c r="A49" s="161" t="s">
        <v>40</v>
      </c>
      <c r="B49" s="161" t="s">
        <v>18</v>
      </c>
      <c r="C49" s="166">
        <f>$D$45</f>
        <v>24400</v>
      </c>
      <c r="D49" s="33">
        <f>IF(所得計算R7!$N$56&lt;=$O$52,C49*0.7,0)</f>
        <v>17080</v>
      </c>
      <c r="E49" s="158"/>
      <c r="F49" s="170"/>
      <c r="G49" s="33"/>
      <c r="H49" s="158"/>
      <c r="I49" s="37"/>
      <c r="J49" s="33"/>
      <c r="K49" s="158"/>
      <c r="M49" s="408" t="s">
        <v>134</v>
      </c>
      <c r="N49" s="408"/>
      <c r="O49" s="408"/>
    </row>
    <row r="50" spans="1:15" x14ac:dyDescent="0.15">
      <c r="A50" s="161" t="s">
        <v>124</v>
      </c>
      <c r="B50" s="162" t="s">
        <v>32</v>
      </c>
      <c r="C50" s="167">
        <f>$C$45</f>
        <v>17400</v>
      </c>
      <c r="D50" s="34">
        <f>IF(AND($O$52&lt;$N$56,$N$56&lt;=$O$54),C50*試算シミュレーション!I8*0.5,0)</f>
        <v>0</v>
      </c>
      <c r="E50" s="158">
        <f>IF(D50&gt;0,2,0)</f>
        <v>0</v>
      </c>
      <c r="F50" s="167">
        <f>$G$45</f>
        <v>12000</v>
      </c>
      <c r="G50" s="34">
        <f>IF(AND($O$52&lt;$N$56,$N$56&lt;=$O$54),F50*試算シミュレーション!I8*0.5,0)</f>
        <v>0</v>
      </c>
      <c r="H50" s="158">
        <f>IF(G50&gt;0,2,0)</f>
        <v>0</v>
      </c>
      <c r="I50" s="168">
        <f>$J$45</f>
        <v>16000</v>
      </c>
      <c r="J50" s="34">
        <f>IF(AND(O52&lt;$N$56,$N$56&lt;=$O$54),I50*試算シミュレーション!G46*0.5,0)</f>
        <v>0</v>
      </c>
      <c r="K50" s="158">
        <f>IF(J50&gt;0,2,0)</f>
        <v>0</v>
      </c>
      <c r="M50" s="409" t="s">
        <v>126</v>
      </c>
      <c r="N50" s="40" t="s">
        <v>35</v>
      </c>
      <c r="O50" s="40"/>
    </row>
    <row r="51" spans="1:15" x14ac:dyDescent="0.15">
      <c r="A51" s="161" t="s">
        <v>124</v>
      </c>
      <c r="B51" s="161" t="s">
        <v>18</v>
      </c>
      <c r="C51" s="167">
        <f>$D$45</f>
        <v>24400</v>
      </c>
      <c r="D51" s="34">
        <f>IF(AND($O$52&lt;$N$56,$N$56&lt;=$O$54),C51*0.5,0)</f>
        <v>0</v>
      </c>
      <c r="E51" s="158"/>
      <c r="F51" s="167"/>
      <c r="G51" s="34"/>
      <c r="H51" s="158"/>
      <c r="I51" s="35"/>
      <c r="J51" s="34"/>
      <c r="K51" s="158"/>
      <c r="M51" s="409"/>
      <c r="N51" s="40" t="s">
        <v>38</v>
      </c>
      <c r="O51" s="40" t="s">
        <v>42</v>
      </c>
    </row>
    <row r="52" spans="1:15" x14ac:dyDescent="0.15">
      <c r="A52" s="161" t="s">
        <v>123</v>
      </c>
      <c r="B52" s="162" t="s">
        <v>32</v>
      </c>
      <c r="C52" s="167">
        <f>$C$45</f>
        <v>17400</v>
      </c>
      <c r="D52" s="34">
        <f>IF(AND($O$54&lt;$N$56,$N$56&lt;=$O$56),C52*試算シミュレーション!I8*0.2,0)</f>
        <v>0</v>
      </c>
      <c r="E52" s="158">
        <f>IF(D52&gt;0,3,0)</f>
        <v>0</v>
      </c>
      <c r="F52" s="167">
        <f>G45</f>
        <v>12000</v>
      </c>
      <c r="G52" s="34">
        <f>IF(AND($O$54&lt;$N$56,$N$56&lt;=$O$56),F52*試算シミュレーション!I8*0.2,0)</f>
        <v>0</v>
      </c>
      <c r="H52" s="158">
        <f>IF(G52&gt;0,3,0)</f>
        <v>0</v>
      </c>
      <c r="I52" s="168">
        <f>$J$45</f>
        <v>16000</v>
      </c>
      <c r="J52" s="34">
        <f>IF(AND($O$54&lt;$N$56,$N$56&lt;=$O$56),I52*試算シミュレーション!G46*0.2,0)</f>
        <v>0</v>
      </c>
      <c r="K52" s="158">
        <f>IF(J52&gt;0,3,0)</f>
        <v>0</v>
      </c>
      <c r="M52" s="41">
        <f>IF(試算シミュレーション!F17&gt;=150000,試算シミュレーション!F17-150000,0)</f>
        <v>0</v>
      </c>
      <c r="N52" s="42">
        <f>試算シミュレーション!D17+試算シミュレーション!E17+所得計算R7!M52+試算シミュレーション!G17+試算シミュレーション!H17</f>
        <v>0</v>
      </c>
      <c r="O52" s="43">
        <f>IF(試算シミュレーション!E49+試算シミュレーション!E50+試算シミュレーション!E51&gt;=1,430000+((試算シミュレーション!E49+試算シミュレーション!E50+試算シミュレーション!E51)-1)*100000,430000)</f>
        <v>430000</v>
      </c>
    </row>
    <row r="53" spans="1:15" x14ac:dyDescent="0.15">
      <c r="A53" s="171" t="s">
        <v>123</v>
      </c>
      <c r="B53" s="171" t="s">
        <v>18</v>
      </c>
      <c r="C53" s="172">
        <f>$D$45</f>
        <v>24400</v>
      </c>
      <c r="D53" s="173">
        <f>IF(AND($O$54&lt;$N$56,$N$56&lt;=$O$56),C53*0.2,0)</f>
        <v>0</v>
      </c>
      <c r="E53" s="174"/>
      <c r="F53" s="172"/>
      <c r="G53" s="175"/>
      <c r="H53" s="174"/>
      <c r="I53" s="176"/>
      <c r="J53" s="173"/>
      <c r="K53" s="177"/>
      <c r="M53" s="41">
        <f>IF(試算シミュレーション!F19&gt;=150000,試算シミュレーション!F19-150000,0)</f>
        <v>0</v>
      </c>
      <c r="N53" s="42">
        <f>試算シミュレーション!D19+試算シミュレーション!E19+所得計算R7!M53+試算シミュレーション!G19+試算シミュレーション!H19</f>
        <v>0</v>
      </c>
      <c r="O53" s="40" t="s">
        <v>41</v>
      </c>
    </row>
    <row r="54" spans="1:15" x14ac:dyDescent="0.15">
      <c r="A54" s="405" t="s">
        <v>24</v>
      </c>
      <c r="B54" s="178" t="s">
        <v>32</v>
      </c>
      <c r="C54" s="179">
        <f>$C$45*(試算シミュレーション!I8)</f>
        <v>0</v>
      </c>
      <c r="D54" s="179">
        <f>SUM(D48+D50+D52)</f>
        <v>0</v>
      </c>
      <c r="E54" s="179">
        <f>IF(D54=0,C54,D54)</f>
        <v>0</v>
      </c>
      <c r="F54" s="179">
        <f>F48*試算シミュレーション!I8</f>
        <v>0</v>
      </c>
      <c r="G54" s="179">
        <f>SUM(G48+G50+G52)</f>
        <v>0</v>
      </c>
      <c r="H54" s="179">
        <f>IF(G54=0,F54,G54)</f>
        <v>0</v>
      </c>
      <c r="I54" s="179">
        <f>I48*試算シミュレーション!G46</f>
        <v>0</v>
      </c>
      <c r="J54" s="179">
        <f>SUM(J48+J50+J52)</f>
        <v>0</v>
      </c>
      <c r="K54" s="179">
        <f>IF(J54=0,I54,J54)</f>
        <v>0</v>
      </c>
      <c r="M54" s="41">
        <f>IF(試算シミュレーション!F21&gt;=150000,試算シミュレーション!F21-150000,0)</f>
        <v>0</v>
      </c>
      <c r="N54" s="42">
        <f>試算シミュレーション!D21+試算シミュレーション!E21+所得計算R7!M54+試算シミュレーション!G21+試算シミュレーション!H21</f>
        <v>0</v>
      </c>
      <c r="O54" s="43">
        <f>IF((試算シミュレーション!E49+試算シミュレーション!E50+試算シミュレーション!E51)&gt;=1,430000+((試算シミュレーション!E49+試算シミュレーション!E50+試算シミュレーション!E51)-1)*100000+305000*(試算シミュレーション!I8),430000+305000*(試算シミュレーション!I8))</f>
        <v>430000</v>
      </c>
    </row>
    <row r="55" spans="1:15" x14ac:dyDescent="0.15">
      <c r="A55" s="405"/>
      <c r="B55" s="178" t="s">
        <v>18</v>
      </c>
      <c r="C55" s="179">
        <f>D45</f>
        <v>24400</v>
      </c>
      <c r="D55" s="179">
        <f>SUM(D49+D51+D53)</f>
        <v>17080</v>
      </c>
      <c r="E55" s="179">
        <f>IF(D55=0,C55,D55)</f>
        <v>17080</v>
      </c>
      <c r="F55" s="181"/>
      <c r="G55" s="179">
        <f>SUM(G49+G51)</f>
        <v>0</v>
      </c>
      <c r="H55" s="182"/>
      <c r="I55" s="182"/>
      <c r="J55" s="179">
        <f>SUM(J49+J51)</f>
        <v>0</v>
      </c>
      <c r="K55" s="182"/>
      <c r="M55" s="41">
        <f>IF(試算シミュレーション!F23&gt;=150000,試算シミュレーション!F23-150000,0)</f>
        <v>0</v>
      </c>
      <c r="N55" s="42">
        <f>試算シミュレーション!D23+試算シミュレーション!E23+所得計算R7!M55+試算シミュレーション!G23+試算シミュレーション!H23</f>
        <v>0</v>
      </c>
      <c r="O55" s="40" t="s">
        <v>39</v>
      </c>
    </row>
    <row r="56" spans="1:15" x14ac:dyDescent="0.15">
      <c r="A56" s="405"/>
      <c r="B56" s="178" t="s">
        <v>35</v>
      </c>
      <c r="C56" s="180" t="str">
        <f>IF(E48=1,"７割軽減該当",IF(E50=2,"５割軽減該当",IF(E52=3,"２割軽減該当","")))</f>
        <v/>
      </c>
      <c r="D56" s="179">
        <f>SUM(E48+E50+E52)</f>
        <v>0</v>
      </c>
      <c r="E56" s="181" t="str">
        <f>IF(D56=0,"",C56)</f>
        <v/>
      </c>
      <c r="F56" s="180" t="str">
        <f>IF(H48=1,"７割軽減該当",IF(H50=2,"５割軽減該当",IF(H52=3,"２割軽減該当","")))</f>
        <v/>
      </c>
      <c r="G56" s="179">
        <f>SUM(H48+H50+H52)</f>
        <v>0</v>
      </c>
      <c r="H56" s="181" t="str">
        <f>IF(G56=0,"",F56)</f>
        <v/>
      </c>
      <c r="I56" s="180" t="str">
        <f>IF(K48=1,"７割軽減該当",IF(K50=2,"５割軽減該当",IF(K52=3,"２割軽減該当","")))</f>
        <v/>
      </c>
      <c r="J56" s="179">
        <f>SUM(K48+K50+K52)</f>
        <v>0</v>
      </c>
      <c r="K56" s="181" t="str">
        <f>IF(J56=0,"",I56)</f>
        <v/>
      </c>
      <c r="M56" s="44">
        <f>試算シミュレーション!I16+試算シミュレーション!I18+試算シミュレーション!I20+試算シミュレーション!I22</f>
        <v>0</v>
      </c>
      <c r="N56" s="45">
        <f>N52+N53+N54+N55+試算シミュレーション!K29</f>
        <v>0</v>
      </c>
      <c r="O56" s="43">
        <f>IF((試算シミュレーション!E49+試算シミュレーション!E50+試算シミュレーション!E51)&gt;=1,430000+((試算シミュレーション!E49+試算シミュレーション!E50+試算シミュレーション!E51)-1)*100000+560000*(試算シミュレーション!I8),430000+560000*(試算シミュレーション!I8))</f>
        <v>430000</v>
      </c>
    </row>
    <row r="57" spans="1:15" x14ac:dyDescent="0.15">
      <c r="A57" s="228"/>
      <c r="B57" s="229" t="s">
        <v>32</v>
      </c>
      <c r="C57" s="230">
        <f>試算シミュレーション!I36</f>
        <v>0</v>
      </c>
      <c r="D57" s="231" t="str">
        <f>IF($C$59="２割軽減該当",C57*20%,IF($C$59="５割軽減該当",C57*50%,IF($C$59="７割軽減該当",C57*70%,"")))</f>
        <v/>
      </c>
      <c r="E57" s="232"/>
      <c r="F57" s="230">
        <f>試算シミュレーション!I41</f>
        <v>0</v>
      </c>
      <c r="G57" s="231" t="str">
        <f>IF($C$59="２割軽減該当",F57*20%,IF($C$59="５割軽減該当",F57*50%,IF($C$59="７割軽減該当",F57*70%,"")))</f>
        <v/>
      </c>
      <c r="H57" s="232"/>
      <c r="I57" s="230">
        <f>試算シミュレーション!I46</f>
        <v>0</v>
      </c>
      <c r="J57" s="231" t="str">
        <f>IF($C$59="２割軽減該当",I57*20%,IF($C$59="５割軽減該当",I57*50%,IF($C$59="７割軽減該当",I57*70%,"")))</f>
        <v/>
      </c>
      <c r="K57" s="232"/>
      <c r="L57" s="3" t="s">
        <v>147</v>
      </c>
      <c r="M57" s="25"/>
      <c r="N57" s="25"/>
    </row>
    <row r="58" spans="1:15" x14ac:dyDescent="0.15">
      <c r="A58" s="228"/>
      <c r="B58" s="229" t="s">
        <v>18</v>
      </c>
      <c r="C58" s="230">
        <f>試算シミュレーション!K36</f>
        <v>24400</v>
      </c>
      <c r="D58" s="231" t="str">
        <f>IF($C$59="２割軽減該当",C58*20%,IF($C$59="５割軽減該当",C58*50%,IF($C$59="７割軽減該当",C58*70%,"")))</f>
        <v/>
      </c>
      <c r="E58" s="232"/>
      <c r="F58" s="230"/>
      <c r="G58" s="231"/>
      <c r="H58" s="232"/>
      <c r="I58" s="230"/>
      <c r="J58" s="231"/>
      <c r="K58" s="232"/>
    </row>
    <row r="59" spans="1:15" x14ac:dyDescent="0.15">
      <c r="A59" s="228"/>
      <c r="B59" s="229" t="s">
        <v>35</v>
      </c>
      <c r="C59" s="230" t="str">
        <f>試算シミュレーション!K50</f>
        <v>軽減なし</v>
      </c>
      <c r="D59" s="231"/>
      <c r="E59" s="232"/>
      <c r="F59" s="230"/>
      <c r="G59" s="231"/>
      <c r="H59" s="232"/>
      <c r="I59" s="230"/>
      <c r="J59" s="231"/>
      <c r="K59" s="232"/>
    </row>
    <row r="60" spans="1:15" x14ac:dyDescent="0.15">
      <c r="C60" s="25"/>
      <c r="D60" s="38"/>
      <c r="E60" s="36"/>
      <c r="F60" s="38"/>
      <c r="G60" s="38"/>
      <c r="H60" s="39"/>
      <c r="I60" s="25"/>
    </row>
    <row r="61" spans="1:15" x14ac:dyDescent="0.15">
      <c r="A61" s="398" t="s">
        <v>127</v>
      </c>
      <c r="B61" s="398"/>
      <c r="C61" s="410" t="s">
        <v>19</v>
      </c>
      <c r="D61" s="398"/>
      <c r="E61" s="398"/>
      <c r="F61" s="411" t="s">
        <v>31</v>
      </c>
      <c r="G61" s="412"/>
      <c r="H61" s="412"/>
    </row>
    <row r="62" spans="1:15" x14ac:dyDescent="0.15">
      <c r="A62" s="186" t="s">
        <v>133</v>
      </c>
      <c r="B62" s="191">
        <f>試算シミュレーション!E52</f>
        <v>0</v>
      </c>
      <c r="C62" s="184" t="s">
        <v>132</v>
      </c>
      <c r="D62" s="185" t="s">
        <v>34</v>
      </c>
      <c r="E62" s="184"/>
      <c r="F62" s="190" t="s">
        <v>132</v>
      </c>
      <c r="G62" s="185" t="s">
        <v>34</v>
      </c>
      <c r="H62" s="184"/>
    </row>
    <row r="63" spans="1:15" x14ac:dyDescent="0.15">
      <c r="A63" s="187" t="s">
        <v>40</v>
      </c>
      <c r="B63" s="184" t="s">
        <v>129</v>
      </c>
      <c r="C63" s="195">
        <f>$C$45*0.3</f>
        <v>5220</v>
      </c>
      <c r="D63" s="33">
        <f>IF(所得計算R7!$N$56&lt;=$O$52,C63*試算シミュレーション!E52*0.5,0)</f>
        <v>0</v>
      </c>
      <c r="E63" s="183">
        <f>IF(D63&gt;0,1,0)</f>
        <v>0</v>
      </c>
      <c r="F63" s="168">
        <f>$G$45*0.3</f>
        <v>3600</v>
      </c>
      <c r="G63" s="33">
        <f>IF(所得計算R7!$N$56&lt;=$O$52,F63*試算シミュレーション!E52*0.5,0)</f>
        <v>0</v>
      </c>
      <c r="H63" s="183">
        <f>IF(G63&gt;0,1,0)</f>
        <v>0</v>
      </c>
      <c r="I63" s="25"/>
    </row>
    <row r="64" spans="1:15" x14ac:dyDescent="0.15">
      <c r="A64" s="188" t="s">
        <v>124</v>
      </c>
      <c r="B64" s="184" t="s">
        <v>129</v>
      </c>
      <c r="C64" s="167">
        <f>$C$45*0.5</f>
        <v>8700</v>
      </c>
      <c r="D64" s="34">
        <f>IF(AND($O$52&lt;$N$56,$N$56&lt;=$O$54),C64*試算シミュレーション!E52*0.5,0)</f>
        <v>0</v>
      </c>
      <c r="E64" s="158">
        <f>IF(D64&gt;0,2,0)</f>
        <v>0</v>
      </c>
      <c r="F64" s="192">
        <f>$G$45*0.5</f>
        <v>6000</v>
      </c>
      <c r="G64" s="34">
        <f>IF(AND($O$52&lt;$N$56,$N$56&lt;=$O$54),F64*試算シミュレーション!E52*0.5,0)</f>
        <v>0</v>
      </c>
      <c r="H64" s="158">
        <f>IF(G64&gt;0,2,0)</f>
        <v>0</v>
      </c>
      <c r="I64" s="25"/>
    </row>
    <row r="65" spans="1:9" x14ac:dyDescent="0.15">
      <c r="A65" s="188" t="s">
        <v>123</v>
      </c>
      <c r="B65" s="184" t="s">
        <v>129</v>
      </c>
      <c r="C65" s="167">
        <f>$C$45*0.8</f>
        <v>13920</v>
      </c>
      <c r="D65" s="34">
        <f>IF(AND($O$54&lt;$N$56,$N$56&lt;=$O$56),C65*試算シミュレーション!E52*0.5,0)</f>
        <v>0</v>
      </c>
      <c r="E65" s="158">
        <f>IF(D65&gt;0,3,0)</f>
        <v>0</v>
      </c>
      <c r="F65" s="192">
        <f>$G$45*0.8</f>
        <v>9600</v>
      </c>
      <c r="G65" s="34">
        <f>IF(AND($O$54&lt;$N$56,$N$56&lt;=$O$56),F65*試算シミュレーション!E52*0.5,0)</f>
        <v>0</v>
      </c>
      <c r="H65" s="158">
        <f>IF(G65&gt;0,3,0)</f>
        <v>0</v>
      </c>
      <c r="I65" s="25"/>
    </row>
    <row r="66" spans="1:9" x14ac:dyDescent="0.15">
      <c r="A66" s="189" t="s">
        <v>130</v>
      </c>
      <c r="B66" s="184" t="s">
        <v>129</v>
      </c>
      <c r="C66" s="172">
        <f t="shared" ref="C66" si="0">$C$45</f>
        <v>17400</v>
      </c>
      <c r="D66" s="173">
        <f>IF(所得計算R7!$N$56&gt;$O$56,C66*試算シミュレーション!E52*0.5,0)</f>
        <v>0</v>
      </c>
      <c r="E66" s="196"/>
      <c r="F66" s="193">
        <f>$G$45</f>
        <v>12000</v>
      </c>
      <c r="G66" s="173">
        <f>IF(所得計算R7!$N$56&gt;$O$56,F66*試算シミュレーション!E52*0.5,0)</f>
        <v>0</v>
      </c>
      <c r="H66" s="177"/>
      <c r="I66" s="25"/>
    </row>
    <row r="67" spans="1:9" x14ac:dyDescent="0.15">
      <c r="A67" s="405" t="s">
        <v>131</v>
      </c>
      <c r="B67" s="178" t="s">
        <v>32</v>
      </c>
      <c r="C67" s="179"/>
      <c r="D67" s="179">
        <f>SUM(D63+D64+D65+D66)</f>
        <v>0</v>
      </c>
      <c r="E67" s="179"/>
      <c r="F67" s="197"/>
      <c r="G67" s="179">
        <f>SUM(G63+G64+G65+G66)</f>
        <v>0</v>
      </c>
      <c r="H67" s="179"/>
      <c r="I67" s="25"/>
    </row>
    <row r="68" spans="1:9" x14ac:dyDescent="0.15">
      <c r="A68" s="405"/>
      <c r="B68" s="178" t="s">
        <v>35</v>
      </c>
      <c r="C68" s="180" t="str">
        <f>IF(E63=1,"７割軽減該当",IF(E64=2,"５割軽減該当",IF(E65=3,"２割軽減該当","")))</f>
        <v/>
      </c>
      <c r="D68" s="179">
        <f>SUM(E63+E64+E65)</f>
        <v>0</v>
      </c>
      <c r="E68" s="181" t="str">
        <f>IF(D68=0,"",C68)</f>
        <v/>
      </c>
      <c r="F68" s="194" t="str">
        <f>IF(H63=1,"７割軽減該当",IF(H64=2,"５割軽減該当",IF(H65=3,"２割軽減該当","")))</f>
        <v/>
      </c>
      <c r="G68" s="179">
        <f>SUM(H63+H64+H65)</f>
        <v>0</v>
      </c>
      <c r="H68" s="181" t="str">
        <f>IF(G68=0,"",F68)</f>
        <v/>
      </c>
      <c r="I68" s="25"/>
    </row>
    <row r="69" spans="1:9" x14ac:dyDescent="0.15">
      <c r="B69" s="44"/>
      <c r="C69" s="45"/>
      <c r="D69" s="46"/>
      <c r="E69" s="45"/>
      <c r="F69" s="38"/>
      <c r="G69" s="38"/>
      <c r="H69" s="26"/>
      <c r="I69" s="25"/>
    </row>
    <row r="70" spans="1:9" x14ac:dyDescent="0.15">
      <c r="B70" s="40"/>
      <c r="C70" s="40"/>
      <c r="D70" s="40"/>
      <c r="E70" s="40"/>
      <c r="F70" s="38"/>
      <c r="G70" s="38"/>
      <c r="H70" s="26"/>
      <c r="I70" s="25"/>
    </row>
    <row r="71" spans="1:9" x14ac:dyDescent="0.15">
      <c r="B71" s="40"/>
      <c r="C71" s="40"/>
      <c r="D71" s="40"/>
      <c r="E71" s="40"/>
      <c r="F71" s="38"/>
      <c r="G71" s="38"/>
      <c r="H71" s="26"/>
      <c r="I71" s="25"/>
    </row>
    <row r="72" spans="1:9" x14ac:dyDescent="0.15">
      <c r="D72" s="40"/>
      <c r="E72" s="40"/>
      <c r="F72" s="38"/>
      <c r="G72" s="38"/>
      <c r="H72" s="26"/>
      <c r="I72" s="25"/>
    </row>
    <row r="73" spans="1:9" x14ac:dyDescent="0.15">
      <c r="B73" s="40"/>
      <c r="C73" s="40"/>
      <c r="D73" s="40"/>
      <c r="E73" s="40"/>
      <c r="F73" s="38"/>
      <c r="G73" s="38"/>
      <c r="H73" s="26"/>
      <c r="I73" s="25"/>
    </row>
    <row r="74" spans="1:9" x14ac:dyDescent="0.15">
      <c r="B74" s="40"/>
      <c r="C74" s="40"/>
      <c r="D74" s="40"/>
      <c r="E74" s="40"/>
      <c r="F74" s="25"/>
      <c r="G74" s="25"/>
      <c r="H74" s="25"/>
      <c r="I74" s="25"/>
    </row>
    <row r="75" spans="1:9" x14ac:dyDescent="0.15">
      <c r="D75" s="40"/>
      <c r="E75" s="40"/>
    </row>
    <row r="76" spans="1:9" x14ac:dyDescent="0.15">
      <c r="B76" s="40"/>
      <c r="C76" s="40"/>
      <c r="D76" s="40"/>
      <c r="E76" s="40"/>
    </row>
    <row r="77" spans="1:9" x14ac:dyDescent="0.15">
      <c r="D77" s="40"/>
      <c r="E77" s="40"/>
    </row>
  </sheetData>
  <mergeCells count="15">
    <mergeCell ref="A67:A68"/>
    <mergeCell ref="A61:B61"/>
    <mergeCell ref="A46:B46"/>
    <mergeCell ref="M49:O49"/>
    <mergeCell ref="M50:M51"/>
    <mergeCell ref="C61:E61"/>
    <mergeCell ref="F61:H61"/>
    <mergeCell ref="A54:A56"/>
    <mergeCell ref="L1:M1"/>
    <mergeCell ref="B36:E36"/>
    <mergeCell ref="F36:H36"/>
    <mergeCell ref="I36:K36"/>
    <mergeCell ref="C46:E46"/>
    <mergeCell ref="F46:H46"/>
    <mergeCell ref="I46:K46"/>
  </mergeCells>
  <phoneticPr fontId="2"/>
  <pageMargins left="0.75" right="0.75" top="1" bottom="1" header="0.51200000000000001" footer="0.51200000000000001"/>
  <pageSetup paperSize="9" scale="54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試算シミュレーション</vt:lpstr>
      <vt:lpstr>所得計算R7</vt:lpstr>
      <vt:lpstr>試算シミュレーション!Print_Area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2025-04-16T02:13:52Z</cp:lastPrinted>
  <dcterms:created xsi:type="dcterms:W3CDTF">2003-06-18T02:06:04Z</dcterms:created>
  <dcterms:modified xsi:type="dcterms:W3CDTF">2025-04-17T07:09:35Z</dcterms:modified>
</cp:coreProperties>
</file>